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<sst xmlns="http://schemas.openxmlformats.org/spreadsheetml/2006/main" count="678" uniqueCount="338">
  <si>
    <t>ОТЧЕТ ОБ ИСПОЛНЕНИИ БЮДЖЕТА</t>
  </si>
  <si>
    <t>КОДЫ</t>
  </si>
  <si>
    <t xml:space="preserve">Форма по ОКУД </t>
  </si>
  <si>
    <t>0503117</t>
  </si>
  <si>
    <t>на 1 июля 2016 г.</t>
  </si>
  <si>
    <t xml:space="preserve">Дата </t>
  </si>
  <si>
    <t>Наименование финансового органа</t>
  </si>
  <si>
    <t>Администрация Новосельского сельского поселения Новокубанского района</t>
  </si>
  <si>
    <t xml:space="preserve">по ОКПО </t>
  </si>
  <si>
    <t xml:space="preserve">Глава по БК </t>
  </si>
  <si>
    <t>04089557</t>
  </si>
  <si>
    <t/>
  </si>
  <si>
    <t>Наименование публично-правового образования</t>
  </si>
  <si>
    <t>Бюджет администрации Новосельского сельского поселения</t>
  </si>
  <si>
    <t xml:space="preserve">по ОКТМО </t>
  </si>
  <si>
    <t>03634422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</si>
  <si>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</si>
  <si>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</si>
  <si>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</si>
  <si>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</si>
  <si>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</si>
  <si>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</si>
  <si>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</si>
  <si>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</si>
  <si>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</si>
  <si>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</si>
  <si>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</si>
  <si>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</si>
  <si>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</si>
  <si>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</si>
  <si>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</si>
  <si>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</si>
  <si>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</si>
  <si>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</si>
  <si>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</si>
  <si>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</si>
  <si>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</si>
  <si>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</si>
  <si>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НАЛОГОВЫЕ И НЕНАЛОГОВЫЕ ДОХОДЫ</t>
  </si>
  <si>
    <t>10000000 00 0000 000</t>
  </si>
  <si>
    <t>НАЛОГИ НА ПРИБЫЛЬ, ДОХОДЫ</t>
  </si>
  <si>
    <t>10100000 00 0000 000</t>
  </si>
  <si>
    <t>Налог на доходы физических лиц</t>
  </si>
  <si>
    <t>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</si>
  <si>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</si>
  <si>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</si>
  <si>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</si>
  <si>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10102020 01 0000 110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</si>
  <si>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</si>
  <si>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</si>
  <si>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</si>
  <si>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</si>
  <si>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10102040 01 0000 110</t>
  </si>
  <si>
    <t>НАЛОГИ НА ТОВАРЫ (РАБОТЫ, УСЛУГИ), РЕАЛИЗУЕМЫЕ НА ТЕРРИТОРИИ РОССИЙСКОЙ ФЕДЕРАЦИИ</t>
  </si>
  <si>
    <t>10300000 00 0000 000</t>
  </si>
  <si>
    <t>Акцизы по подакцизным товарам (продукции), производимым на территории Российской Федерации</t>
  </si>
  <si>
    <t>10302000 01 0000 110</t>
  </si>
  <si>
    <t xml:space="preserve">Доходы от уплаты акцизов на топливо печное бытовое, вырабатываемое из дизельных фракций прямой перегонки и (или) вторичного происхождения, кипящих в интервале температур от 280 до 360 градусов Цельсия, производимое на территории Российской Федерации,... 1.03.02.220 (MEMO)   
</t>
  </si>
  <si>
    <t>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</si>
  <si>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</si>
  <si>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10302240 01 0000 110</t>
  </si>
  <si>
    <t>Доходы от уплаты акцизов на топливо печное бытовое, вырабатываемое из дизельных фракций прямой перегонки и (или) вторичного происхождения, кипящих в интервале температур от 280 до 360 градусов Цельсия, производимое на территории Российской Федерации, подлежащие распределению в консолидированные бюджеты субъектов Российской Федерации</t>
  </si>
  <si>
    <t>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</si>
  <si>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</si>
  <si>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10302260 01 0000 110</t>
  </si>
  <si>
    <t>НАЛОГИ НА СОВОКУПНЫЙ ДОХОД</t>
  </si>
  <si>
    <t>10500000 00 0000 000</t>
  </si>
  <si>
    <t>Единый сельскохозяйственный налог</t>
  </si>
  <si>
    <t>10503000 01 0000 110</t>
  </si>
  <si>
    <t>10503010 01 0000 110</t>
  </si>
  <si>
    <t>НАЛОГИ НА ИМУЩЕСТВО</t>
  </si>
  <si>
    <t>10600000 00 0000 000</t>
  </si>
  <si>
    <t>Налог на имущество физических лиц</t>
  </si>
  <si>
    <t>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</si>
  <si>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</si>
  <si>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10601030 10 0000 110</t>
  </si>
  <si>
    <t>Земельный налог</t>
  </si>
  <si>
    <t>10606000 00 0000 110</t>
  </si>
  <si>
    <t>Земельный налог с организаций</t>
  </si>
  <si>
    <t>10606030 00 0000 110</t>
  </si>
  <si>
    <t>Земельный налог с организаций, обладающих земельным участком, расположенным в границах сельских поселений</t>
  </si>
  <si>
    <t>10606033 10 0000 110</t>
  </si>
  <si>
    <t>Земельный налог с физических лиц</t>
  </si>
  <si>
    <t>10606040 00 0000 110</t>
  </si>
  <si>
    <t>Земельный налог с физических лиц, обладающих земельным участком, расположенным в границах сельских поселений</t>
  </si>
  <si>
    <t>10606043 10 0000 110</t>
  </si>
  <si>
    <t>ДОХОДЫ ОТ ИСПОЛЬЗОВАНИЯ ИМУЩЕСТВА, НАХОДЯЩЕГОСЯ В ГОСУДАРСТВЕННОЙ И МУНИЦИПАЛЬНОЙ СОБСТВЕННОСТИ</t>
  </si>
  <si>
    <t>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</si>
  <si>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</si>
  <si>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</si>
  <si>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</si>
  <si>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</si>
  <si>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</si>
  <si>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11105035 10 0000 120</t>
  </si>
  <si>
    <t>ДОХОДЫ ОТ ОКАЗАНИЯ ПЛАТНЫХ УСЛУГ (РАБОТ) И КОМПЕНСАЦИИ ЗАТРАТ ГОСУДАРСТВА</t>
  </si>
  <si>
    <t>11300000 00 0000 000</t>
  </si>
  <si>
    <t>Доходы от оказания платных услуг (работ)</t>
  </si>
  <si>
    <t>11301000 00 0000 130</t>
  </si>
  <si>
    <t>Прочие доходы от оказания платных услуг (работ)</t>
  </si>
  <si>
    <t>11301990 00 0000 130</t>
  </si>
  <si>
    <t>Прочие доходы от оказания платных услуг (работ) получателями средств бюджетов сельских поселений</t>
  </si>
  <si>
    <t>11301995 10 0000 130</t>
  </si>
  <si>
    <t>Доходы от компенсации затрат государства</t>
  </si>
  <si>
    <t>11302000 00 0000 130</t>
  </si>
  <si>
    <t>Прочие доходы от компенсации затрат государства</t>
  </si>
  <si>
    <t>11302990 00 0000 130</t>
  </si>
  <si>
    <t>Прочие доходы от компенсации затрат бюджетов сельских поселений</t>
  </si>
  <si>
    <t>11302995 10 0000 130</t>
  </si>
  <si>
    <t>ШТРАФЫ, САНКЦИИ, ВОЗМЕЩЕНИЕ УЩЕРБА</t>
  </si>
  <si>
    <t>11600000 00 0000 000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</si>
  <si>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</si>
  <si>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11633000 00 0000 140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</si>
  <si>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</si>
  <si>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11633050 10 0000 140</t>
  </si>
  <si>
    <t>Прочие поступления от денежных взысканий (штрафов) и иных сумм в возмещение ущерба</t>
  </si>
  <si>
    <t>11690000 00 0000 140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</si>
  <si>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</si>
  <si>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11690050 10 0000 140</t>
  </si>
  <si>
    <t>БЕЗВОЗМЕЗДНЫЕ ПОСТУПЛЕНИЯ</t>
  </si>
  <si>
    <t>20000000 00 0000 000</t>
  </si>
  <si>
    <t>БЕЗВОЗМЕЗДНЫЕ ПОСТУПЛЕНИЯ ОТ ДРУГИХ БЮДЖЕТОВ БЮДЖЕТНОЙ СИСТЕМЫ РОССИЙСКОЙ ФЕДЕРАЦИИ</t>
  </si>
  <si>
    <t>20200000 00 0000 000</t>
  </si>
  <si>
    <t>Дотации бюджетам субъектов Российской Федерации и муниципальных образований</t>
  </si>
  <si>
    <t>20201000 00 0000 151</t>
  </si>
  <si>
    <t>Дотации на выравнивание бюджетной обеспеченности</t>
  </si>
  <si>
    <t>20201001 00 0000 151</t>
  </si>
  <si>
    <t>Дотации бюджетам сельских поселений на выравнивание бюджетной обеспеченности</t>
  </si>
  <si>
    <t>20201001 10 0000 151</t>
  </si>
  <si>
    <t>Субсидии бюджетам бюджетной системы Российской Федерации (межбюджетные субсидии)</t>
  </si>
  <si>
    <t>20202000 00 0000 151</t>
  </si>
  <si>
    <t>Прочие субсидии</t>
  </si>
  <si>
    <t>20202999 00 0000 151</t>
  </si>
  <si>
    <t>Прочие субсидии бюджетам сельских поселений</t>
  </si>
  <si>
    <t>20202999 10 0000 151</t>
  </si>
  <si>
    <t>Субвенции бюджетам субъектов Российской Федерации и муниципальных образований</t>
  </si>
  <si>
    <t>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</si>
  <si>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</si>
  <si>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</si>
  <si>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</si>
  <si>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20203015 10 0000 151</t>
  </si>
  <si>
    <t>Субвенции местным бюджетам на выполнение передаваемых полномочий субъектов Российской Федерации</t>
  </si>
  <si>
    <t>20203024 00 0000 151</t>
  </si>
  <si>
    <t>Субвенции бюджетам сельских поселений на выполнение передаваемых полномочий субъектов Российской Федерации</t>
  </si>
  <si>
    <t>20203024 10 0000 151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</si>
  <si>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</si>
  <si>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20800000 00 0000 000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</si>
  <si>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</si>
  <si>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20805000 10 0000 180</t>
  </si>
  <si>
    <t>ВОЗВРАТ ОСТАТКОВ СУБСИДИЙ, СУБВЕНЦИЙ И ИНЫХ МЕЖБЮДЖЕТНЫХ ТРАНСФЕРТОВ, ИМЕЮЩИХ ЦЕЛЕВОЕ НАЗНАЧЕНИЕ, ПРОШЛЫХ ЛЕТ</t>
  </si>
  <si>
    <t>21900000 00 0000 000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</si>
  <si>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</si>
  <si>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21905000 10 0000 151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</si>
  <si>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</si>
  <si>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</si>
  <si>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</si>
  <si>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</si>
  <si>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Функционирование высшего должностного лица субъекта Российской Федерации и муниципального образования</t>
  </si>
  <si>
    <t>0102 0000000000 000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</si>
  <si>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</si>
  <si>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0102 0000000000 100</t>
  </si>
  <si>
    <t>Фонд оплаты труда государственных (муниципальных) органов</t>
  </si>
  <si>
    <t>0102 5010000190 121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</si>
  <si>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</si>
  <si>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0102 5010000190 129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</si>
  <si>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</si>
  <si>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0104 0000000000 000</t>
  </si>
  <si>
    <t>0104 0000000000 100</t>
  </si>
  <si>
    <t>0104 5050000190 121</t>
  </si>
  <si>
    <t>Иные выплаты персоналу государственных (муниципальных) органов, за исключением фонда оплаты труда</t>
  </si>
  <si>
    <t>0104 5050000190 122</t>
  </si>
  <si>
    <t>0104 5050000190 129</t>
  </si>
  <si>
    <t>Закупка товаров, работ и услуг для обеспечения государственных (муниципальных) нужд</t>
  </si>
  <si>
    <t>0104 0000000000 200</t>
  </si>
  <si>
    <t>Прочая закупка товаров, работ и услуг для обеспечения государственных (муниципальных) нужд</t>
  </si>
  <si>
    <t>0104 5050000190 244</t>
  </si>
  <si>
    <t>0104 5050060190 244</t>
  </si>
  <si>
    <t>Иные бюджетные ассигнования</t>
  </si>
  <si>
    <t>0104 0000000000 800</t>
  </si>
  <si>
    <t>Уплата налога на имущество организаций и земельного налога</t>
  </si>
  <si>
    <t>0104 5050000190 851</t>
  </si>
  <si>
    <t>Уплата прочих налогов, сборов</t>
  </si>
  <si>
    <t>0104 5050000190 852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</si>
  <si>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</si>
  <si>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0106 0000000000 000</t>
  </si>
  <si>
    <t>Межбюджетные трансферты</t>
  </si>
  <si>
    <t>0106 0000000000 500</t>
  </si>
  <si>
    <t>Иные межбюджетные трансферты</t>
  </si>
  <si>
    <t>0106 5020200190 540</t>
  </si>
  <si>
    <t>Резервные фонды</t>
  </si>
  <si>
    <t>0111 0000000000 000</t>
  </si>
  <si>
    <t>0111 0000000000 800</t>
  </si>
  <si>
    <t>Резервные средства</t>
  </si>
  <si>
    <t>0111 5090110530 870</t>
  </si>
  <si>
    <t>Другие общегосударственные вопросы</t>
  </si>
  <si>
    <t>0113 0000000000 000</t>
  </si>
  <si>
    <t>0113 0000000000 100</t>
  </si>
  <si>
    <t>0113 1010010200 122</t>
  </si>
  <si>
    <t>0113 0000000000 200</t>
  </si>
  <si>
    <t>0113 1010010200 244</t>
  </si>
  <si>
    <t>0113 1020010440 244</t>
  </si>
  <si>
    <t>0113 1310010080 244</t>
  </si>
  <si>
    <t>0113 5050010050 244</t>
  </si>
  <si>
    <t>0113 0000000000 800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</si>
  <si>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</t>
  </si>
  <si>
    <t>0113 5050010050 831</t>
  </si>
  <si>
    <t>Уплата иных платежей</t>
  </si>
  <si>
    <t>0113 5050010050 853</t>
  </si>
  <si>
    <t>Мобилизационная и вневойсковая подготовка</t>
  </si>
  <si>
    <t>0203 0000000000 000</t>
  </si>
  <si>
    <t>0203 0000000000 100</t>
  </si>
  <si>
    <t>0203 5050051180 121</t>
  </si>
  <si>
    <t>0203 5050051180 129</t>
  </si>
  <si>
    <t>0203 0000000000 200</t>
  </si>
  <si>
    <t>0203 5050051180 244</t>
  </si>
  <si>
    <t>Обеспечение пожарной безопасности</t>
  </si>
  <si>
    <t>0310 0000000000 000</t>
  </si>
  <si>
    <t>0310 0000000000 200</t>
  </si>
  <si>
    <t>0310 0620010140 244</t>
  </si>
  <si>
    <t>Дорожное хозяйство (дорожные фонды)</t>
  </si>
  <si>
    <t>0409 0000000000 000</t>
  </si>
  <si>
    <t>0409 0000000000 200</t>
  </si>
  <si>
    <t>0409 0420010360 244</t>
  </si>
  <si>
    <t>0409 0440010340 244</t>
  </si>
  <si>
    <t>0409 0440010350 244</t>
  </si>
  <si>
    <t>Другие вопросы в области национальной экономики</t>
  </si>
  <si>
    <t>0412 0000000000 000</t>
  </si>
  <si>
    <t>0412 0000000000 200</t>
  </si>
  <si>
    <t>0412 0430010370 244</t>
  </si>
  <si>
    <t>0412 0450010380 244</t>
  </si>
  <si>
    <t>0412 0910010170 244</t>
  </si>
  <si>
    <t>Благоустройство</t>
  </si>
  <si>
    <t>0503 0000000000 000</t>
  </si>
  <si>
    <t>0503 0000000000 100</t>
  </si>
  <si>
    <t>Фонд оплаты труда казенных учреждений</t>
  </si>
  <si>
    <t>0503 0540410410 111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</si>
  <si>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</si>
  <si>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0503 0540410410 119</t>
  </si>
  <si>
    <t>0503 0000000000 200</t>
  </si>
  <si>
    <t>0503 0540110410 244</t>
  </si>
  <si>
    <t>0503 0540410410 244</t>
  </si>
  <si>
    <t>0503 0560010450 244</t>
  </si>
  <si>
    <t>0503 0000000000 800</t>
  </si>
  <si>
    <t>0503 0540110410 853</t>
  </si>
  <si>
    <t>Молодежная политика и оздоровление детей</t>
  </si>
  <si>
    <t>0707 0000000000 000</t>
  </si>
  <si>
    <t>0707 0000000000 200</t>
  </si>
  <si>
    <t>0707 0310310250 244</t>
  </si>
  <si>
    <t>Культура</t>
  </si>
  <si>
    <t>0801 0000000000 000</t>
  </si>
  <si>
    <t>0801 0000000000 100</t>
  </si>
  <si>
    <t>0801 0710000590 111</t>
  </si>
  <si>
    <t>0801 0710060120 111</t>
  </si>
  <si>
    <t>0801 07100S0120 111</t>
  </si>
  <si>
    <t>Иные выплаты персоналу казенных учреждений, за исключением фонда оплаты труда</t>
  </si>
  <si>
    <t>0801 0710000590 112</t>
  </si>
  <si>
    <t>0801 0710000590 119</t>
  </si>
  <si>
    <t>0801 0710060120 119</t>
  </si>
  <si>
    <t>0801 07100S0120 119</t>
  </si>
  <si>
    <t>0801 0000000000 200</t>
  </si>
  <si>
    <t>0801 0710000590 244</t>
  </si>
  <si>
    <t>0801 0710010230 244</t>
  </si>
  <si>
    <t>0801 0000000000 800</t>
  </si>
  <si>
    <t>0801 0710000590 831</t>
  </si>
  <si>
    <t>0801 0710000590 851</t>
  </si>
  <si>
    <t>0801 0710000590 852</t>
  </si>
  <si>
    <t>0801 0710000590 853</t>
  </si>
  <si>
    <t>Другие вопросы в области социальной политики</t>
  </si>
  <si>
    <t>1006 0000000000 000</t>
  </si>
  <si>
    <t>1006 0000000000 200</t>
  </si>
  <si>
    <t>1006 0220010160 244</t>
  </si>
  <si>
    <t>Физическая культура</t>
  </si>
  <si>
    <t>1101 0000000000 000</t>
  </si>
  <si>
    <t>1101 0000000000 200</t>
  </si>
  <si>
    <t>1101 0810010120 244</t>
  </si>
  <si>
    <t>Периодическая печать и издательства</t>
  </si>
  <si>
    <t>1202 0000000000 000</t>
  </si>
  <si>
    <t>1202 0000000000 200</t>
  </si>
  <si>
    <t>1202 1210010270 244</t>
  </si>
  <si>
    <t>Обслуживание государственного внутреннего и муниципального долга</t>
  </si>
  <si>
    <t>1301 0000000000 000</t>
  </si>
  <si>
    <t>Обслуживание государственного (муниципального) долга</t>
  </si>
  <si>
    <t>1301 0000000000 700</t>
  </si>
  <si>
    <t>Обслуживание муниципального долга</t>
  </si>
  <si>
    <t>1301 6010010060 730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</si>
  <si>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</si>
  <si>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</si>
  <si>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</si>
  <si>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</si>
  <si>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</si>
  <si>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</si>
  <si>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</si>
  <si>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</si>
  <si>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</si>
  <si>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ВНУТРЕННЕГО ФИНАНСИРОВАНИЯ ДЕФИЦИТОВ БЮДЖЕТОВ</t>
  </si>
  <si>
    <t>01000000 00 0000 000</t>
  </si>
  <si>
    <t>Получение кредитов от других бюджетов бюджетной системы Российской Федерации  бюджетами поселений в валюте Российской Федерации</t>
  </si>
  <si>
    <t>01030000 00 0000 000</t>
  </si>
  <si>
    <t>Бюджетные кредиты от других бюджетов бюджетной системы Российской Федерации в валюте Российской Федерации</t>
  </si>
  <si>
    <t>01030100 00 0000 000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</si>
  <si>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</si>
  <si>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01030100 00 0000 800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</si>
  <si>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</si>
  <si>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01030100 10 0000 810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</si>
  <si>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</si>
  <si>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</si>
  <si>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</si>
  <si>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</si>
  <si>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</si>
  <si>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>Увеличение остатков средств бюджетов</t>
  </si>
  <si>
    <t>710</t>
  </si>
  <si>
    <t>01050000 00 0000 500</t>
  </si>
  <si>
    <t>Увеличение прочих остатков средств бюджетов</t>
  </si>
  <si>
    <t>01050200 00 0000 500</t>
  </si>
  <si>
    <t>Увеличение прочих остатков денежных средств бюджетов</t>
  </si>
  <si>
    <t>01050201 00 0000 510</t>
  </si>
  <si>
    <t>Увеличение прочих остатков денежных средств бюджетов сельских поселений</t>
  </si>
  <si>
    <t>01050201 10 0000 510</t>
  </si>
  <si>
    <t>Уменьшение остатков средств бюджетов</t>
  </si>
  <si>
    <t>720</t>
  </si>
  <si>
    <t>01050000 00 0000 600</t>
  </si>
  <si>
    <t>Уменьшение прочих остатков средств бюджетов</t>
  </si>
  <si>
    <t>01050200 00 0000 600</t>
  </si>
  <si>
    <t>Уменьшение прочих остатков денежных средств бюджетов</t>
  </si>
  <si>
    <t>01050201 00 0000 610</t>
  </si>
  <si>
    <t>Уменьшение прочих остатков денежных средств бюджетов сельских поселений</t>
  </si>
  <si>
    <t>01050201 10 0000 610</t>
  </si>
  <si>
    <t>Глава Новосельского сельского поселения Новокубанского района</t>
  </si>
  <si>
    <t>Колесников А. Е.</t>
  </si>
  <si>
    <t>(подпись)</t>
  </si>
  <si>
    <t>(расшифровка подписи)</t>
  </si>
  <si>
    <t>Главный бухгалтер</t>
  </si>
  <si>
    <t>Елатенцева С. А.</t>
  </si>
  <si>
    <t>Исполнитель:</t>
  </si>
  <si>
    <t>Ведущий специалист</t>
  </si>
  <si>
    <t>Копач Е. А.</t>
  </si>
  <si>
    <t>(должность)</t>
  </si>
  <si>
    <t xml:space="preserve">   1 июля 2016 г.   </t>
  </si>
  <si>
    <t>Форма 0503117 с.1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</si>
</sst>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  <xf numFmtId="0" fontId="5" fillId="33" borderId="42" xfId="0" applyNumberFormat="1" applyFont="1" applyFill="1" applyBorder="1" applyAlignment="1">
      <alignment horizontal="center" vertical="center" wrapText="1"/>
    </xf>
    <xf numFmtId="0" fontId="8" fillId="33" borderId="43" xfId="0" applyNumberFormat="1" applyFont="1" applyFill="1" applyBorder="1" applyAlignment="1">
      <alignment horizontal="center" vertical="center" wrapText="1"/>
    </xf>
    <xf numFmtId="4" fontId="5" fillId="33" borderId="43" xfId="0" applyNumberFormat="1" applyFont="1" applyFill="1" applyBorder="1" applyAlignment="1">
      <alignment horizontal="right" vertical="center" wrapText="1"/>
    </xf>
    <xf numFmtId="4" fontId="5" fillId="33" borderId="44" xfId="0" applyNumberFormat="1" applyFont="1" applyFill="1" applyBorder="1" applyAlignment="1">
      <alignment horizontal="right" vertical="center" wrapText="1"/>
    </xf>
    <xf numFmtId="4" fontId="5" fillId="33" borderId="45" xfId="0" applyNumberFormat="1" applyFont="1" applyFill="1" applyBorder="1" applyAlignment="1">
      <alignment horizontal="right" vertical="center" wrapText="1"/>
    </xf>
    <xf numFmtId="0" fontId="5" fillId="33" borderId="46" xfId="0" applyNumberFormat="1" applyFont="1" applyFill="1" applyBorder="1" applyAlignment="1">
      <alignment horizontal="center" vertical="center" wrapText="1"/>
    </xf>
    <xf numFmtId="4" fontId="5" fillId="33" borderId="47" xfId="0" applyNumberFormat="1" applyFont="1" applyFill="1" applyBorder="1" applyAlignment="1">
      <alignment horizontal="right" vertical="center" wrapText="1"/>
    </xf>
    <xf numFmtId="0" fontId="5" fillId="33" borderId="41" xfId="0" applyNumberFormat="1" applyFont="1" applyFill="1" applyBorder="1" applyAlignment="1">
      <alignment horizontal="right" vertical="center" wrapText="1"/>
    </xf>
    <xf numFmtId="4" fontId="5" fillId="33" borderId="0" xfId="0" applyNumberFormat="1" applyFont="1" applyFill="1" applyBorder="1" applyAlignment="1">
      <alignment horizontal="right" vertical="center" wrapText="1"/>
    </xf>
    <xf numFmtId="4" fontId="5" fillId="33" borderId="48" xfId="0" applyNumberFormat="1" applyFont="1" applyFill="1" applyBorder="1" applyAlignment="1">
      <alignment horizontal="right" vertical="center" wrapText="1"/>
    </xf>
    <xf numFmtId="0" fontId="5" fillId="33" borderId="45" xfId="0" applyNumberFormat="1" applyFont="1" applyFill="1" applyBorder="1" applyAlignment="1">
      <alignment horizontal="center" vertical="center" wrapText="1"/>
    </xf>
    <xf numFmtId="0" fontId="5" fillId="33" borderId="48" xfId="0" applyNumberFormat="1" applyFont="1" applyFill="1" applyBorder="1" applyAlignment="1">
      <alignment horizontal="right" vertical="center" wrapText="1"/>
    </xf>
    <xf numFmtId="0" fontId="5" fillId="33" borderId="48" xfId="0" applyNumberFormat="1" applyFont="1" applyFill="1" applyBorder="1" applyAlignment="1">
      <alignment horizontal="center" vertical="center" wrapText="1"/>
    </xf>
    <xf numFmtId="0" fontId="0" fillId="0" borderId="49" xfId="0" applyNumberFormat="1" applyBorder="1" applyAlignment="1">
      <alignment/>
    </xf>
    <xf numFmtId="2" fontId="0" fillId="0" borderId="49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4"/>
  <sheetViews>
    <sheetView tabSelected="1" zoomScalePageLayoutView="0" workbookViewId="0" topLeftCell="A1">
      <selection activeCell="Y12" sqref="Y12:Y192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5.28125" style="1" customWidth="1"/>
    <col min="7" max="7" width="4.7109375" style="1" hidden="1" customWidth="1"/>
    <col min="8" max="8" width="1.7109375" style="1" hidden="1" customWidth="1"/>
    <col min="9" max="9" width="2.7109375" style="1" hidden="1" customWidth="1"/>
    <col min="10" max="10" width="1.7109375" style="1" hidden="1" customWidth="1"/>
    <col min="11" max="11" width="1.8515625" style="1" hidden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42552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11</v>
      </c>
    </row>
    <row r="6" spans="1:24" s="1" customFormat="1" ht="13.5" customHeight="1">
      <c r="A6" s="7" t="s">
        <v>12</v>
      </c>
      <c r="B6" s="7"/>
      <c r="C6" s="7"/>
      <c r="D6" s="7"/>
      <c r="E6" s="7"/>
      <c r="F6" s="7"/>
      <c r="G6" s="8" t="s">
        <v>13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14</v>
      </c>
      <c r="V6" s="4"/>
      <c r="W6" s="4"/>
      <c r="X6" s="9" t="s">
        <v>15</v>
      </c>
    </row>
    <row r="7" spans="1:24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11</v>
      </c>
    </row>
    <row r="8" spans="1:24" s="1" customFormat="1" ht="13.5" customHeight="1">
      <c r="A8" s="7" t="s">
        <v>18</v>
      </c>
      <c r="B8" s="7"/>
      <c r="C8" s="7"/>
      <c r="D8" s="7"/>
      <c r="E8" s="7" t="s">
        <v>19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20</v>
      </c>
      <c r="U8" s="4"/>
      <c r="V8" s="4"/>
      <c r="W8" s="4"/>
      <c r="X8" s="11" t="s">
        <v>21</v>
      </c>
    </row>
    <row r="9" spans="1:24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5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24</v>
      </c>
      <c r="M10" s="13"/>
      <c r="N10" s="13" t="s">
        <v>25</v>
      </c>
      <c r="O10" s="13"/>
      <c r="P10" s="14" t="s">
        <v>26</v>
      </c>
      <c r="Q10" s="14"/>
      <c r="R10" s="14"/>
      <c r="S10" s="14" t="s">
        <v>27</v>
      </c>
      <c r="T10" s="14"/>
      <c r="U10" s="14"/>
      <c r="V10" s="14"/>
      <c r="W10" s="15" t="s">
        <v>28</v>
      </c>
      <c r="X10" s="58"/>
      <c r="Y10" s="71"/>
    </row>
    <row r="11" spans="1:25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30</v>
      </c>
      <c r="M11" s="16"/>
      <c r="N11" s="16" t="s">
        <v>31</v>
      </c>
      <c r="O11" s="16"/>
      <c r="P11" s="17" t="s">
        <v>32</v>
      </c>
      <c r="Q11" s="17"/>
      <c r="R11" s="17"/>
      <c r="S11" s="17" t="s">
        <v>33</v>
      </c>
      <c r="T11" s="17"/>
      <c r="U11" s="17"/>
      <c r="V11" s="17"/>
      <c r="W11" s="18" t="s">
        <v>34</v>
      </c>
      <c r="X11" s="59"/>
      <c r="Y11" s="71"/>
    </row>
    <row r="12" spans="1:25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36</v>
      </c>
      <c r="M12" s="20"/>
      <c r="N12" s="20" t="s">
        <v>37</v>
      </c>
      <c r="O12" s="20"/>
      <c r="P12" s="21">
        <f>22378821.3</f>
        <v>22378821.3</v>
      </c>
      <c r="Q12" s="21"/>
      <c r="R12" s="21"/>
      <c r="S12" s="21">
        <f>9528174.91</f>
        <v>9528174.91</v>
      </c>
      <c r="T12" s="21"/>
      <c r="U12" s="21"/>
      <c r="V12" s="21"/>
      <c r="W12" s="22">
        <f>12850646.39</f>
        <v>12850646.39</v>
      </c>
      <c r="X12" s="60"/>
      <c r="Y12" s="72">
        <f>S12/P12*100</f>
        <v>42.57675050115351</v>
      </c>
    </row>
    <row r="13" spans="1:25" s="1" customFormat="1" ht="13.5" customHeight="1">
      <c r="A13" s="23" t="s">
        <v>38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36</v>
      </c>
      <c r="M13" s="24"/>
      <c r="N13" s="24" t="s">
        <v>39</v>
      </c>
      <c r="O13" s="24"/>
      <c r="P13" s="25">
        <f>14437759.79</f>
        <v>14437759.79</v>
      </c>
      <c r="Q13" s="25"/>
      <c r="R13" s="25"/>
      <c r="S13" s="25">
        <f>5773173.52</f>
        <v>5773173.52</v>
      </c>
      <c r="T13" s="25"/>
      <c r="U13" s="25"/>
      <c r="V13" s="25"/>
      <c r="W13" s="26">
        <f>8664586.27</f>
        <v>8664586.27</v>
      </c>
      <c r="X13" s="61"/>
      <c r="Y13" s="72">
        <f aca="true" t="shared" si="0" ref="Y13:Y76">S13/P13*100</f>
        <v>39.986629532364596</v>
      </c>
    </row>
    <row r="14" spans="1:25" s="1" customFormat="1" ht="13.5" customHeight="1">
      <c r="A14" s="23" t="s">
        <v>40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36</v>
      </c>
      <c r="M14" s="24"/>
      <c r="N14" s="24" t="s">
        <v>41</v>
      </c>
      <c r="O14" s="24"/>
      <c r="P14" s="25">
        <f>4609000</f>
        <v>4609000</v>
      </c>
      <c r="Q14" s="25"/>
      <c r="R14" s="25"/>
      <c r="S14" s="25">
        <f>2156986.23</f>
        <v>2156986.23</v>
      </c>
      <c r="T14" s="25"/>
      <c r="U14" s="25"/>
      <c r="V14" s="25"/>
      <c r="W14" s="26">
        <f>2452013.77</f>
        <v>2452013.77</v>
      </c>
      <c r="X14" s="61"/>
      <c r="Y14" s="72">
        <f t="shared" si="0"/>
        <v>46.79944087654589</v>
      </c>
    </row>
    <row r="15" spans="1:25" s="1" customFormat="1" ht="13.5" customHeight="1">
      <c r="A15" s="23" t="s">
        <v>42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36</v>
      </c>
      <c r="M15" s="24"/>
      <c r="N15" s="24" t="s">
        <v>43</v>
      </c>
      <c r="O15" s="24"/>
      <c r="P15" s="25">
        <f>4609000</f>
        <v>4609000</v>
      </c>
      <c r="Q15" s="25"/>
      <c r="R15" s="25"/>
      <c r="S15" s="25">
        <f>2156986.23</f>
        <v>2156986.23</v>
      </c>
      <c r="T15" s="25"/>
      <c r="U15" s="25"/>
      <c r="V15" s="25"/>
      <c r="W15" s="26">
        <f>2452013.77</f>
        <v>2452013.77</v>
      </c>
      <c r="X15" s="61"/>
      <c r="Y15" s="72">
        <f t="shared" si="0"/>
        <v>46.79944087654589</v>
      </c>
    </row>
    <row r="16" spans="1:25" s="1" customFormat="1" ht="45" customHeight="1">
      <c r="A16" s="23" t="s">
        <v>44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36</v>
      </c>
      <c r="M16" s="24"/>
      <c r="N16" s="24" t="s">
        <v>45</v>
      </c>
      <c r="O16" s="24"/>
      <c r="P16" s="25">
        <f>4603400</f>
        <v>4603400</v>
      </c>
      <c r="Q16" s="25"/>
      <c r="R16" s="25"/>
      <c r="S16" s="25">
        <f>2149251.24</f>
        <v>2149251.24</v>
      </c>
      <c r="T16" s="25"/>
      <c r="U16" s="25"/>
      <c r="V16" s="25"/>
      <c r="W16" s="26">
        <f>2454148.76</f>
        <v>2454148.76</v>
      </c>
      <c r="X16" s="61"/>
      <c r="Y16" s="72">
        <f t="shared" si="0"/>
        <v>46.68834426728071</v>
      </c>
    </row>
    <row r="17" spans="1:25" s="1" customFormat="1" ht="66" customHeight="1">
      <c r="A17" s="23" t="s">
        <v>46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36</v>
      </c>
      <c r="M17" s="24"/>
      <c r="N17" s="24" t="s">
        <v>47</v>
      </c>
      <c r="O17" s="24"/>
      <c r="P17" s="27" t="s">
        <v>48</v>
      </c>
      <c r="Q17" s="27"/>
      <c r="R17" s="27"/>
      <c r="S17" s="25">
        <f>863.59</f>
        <v>863.59</v>
      </c>
      <c r="T17" s="25"/>
      <c r="U17" s="25"/>
      <c r="V17" s="25"/>
      <c r="W17" s="26">
        <f>0</f>
        <v>0</v>
      </c>
      <c r="X17" s="61"/>
      <c r="Y17" s="72" t="e">
        <f t="shared" si="0"/>
        <v>#VALUE!</v>
      </c>
    </row>
    <row r="18" spans="1:25" s="1" customFormat="1" ht="24" customHeight="1">
      <c r="A18" s="23" t="s">
        <v>49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36</v>
      </c>
      <c r="M18" s="24"/>
      <c r="N18" s="24" t="s">
        <v>50</v>
      </c>
      <c r="O18" s="24"/>
      <c r="P18" s="25">
        <f>5500</f>
        <v>5500</v>
      </c>
      <c r="Q18" s="25"/>
      <c r="R18" s="25"/>
      <c r="S18" s="25">
        <f>6871.4</f>
        <v>6871.4</v>
      </c>
      <c r="T18" s="25"/>
      <c r="U18" s="25"/>
      <c r="V18" s="25"/>
      <c r="W18" s="26">
        <f>-1371.4</f>
        <v>-1371.4</v>
      </c>
      <c r="X18" s="61"/>
      <c r="Y18" s="72">
        <f t="shared" si="0"/>
        <v>124.93454545454546</v>
      </c>
    </row>
    <row r="19" spans="1:25" s="1" customFormat="1" ht="54.75" customHeight="1">
      <c r="A19" s="23" t="s">
        <v>51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36</v>
      </c>
      <c r="M19" s="24"/>
      <c r="N19" s="24" t="s">
        <v>52</v>
      </c>
      <c r="O19" s="24"/>
      <c r="P19" s="25">
        <f>100</f>
        <v>100</v>
      </c>
      <c r="Q19" s="25"/>
      <c r="R19" s="25"/>
      <c r="S19" s="27" t="s">
        <v>48</v>
      </c>
      <c r="T19" s="27"/>
      <c r="U19" s="27"/>
      <c r="V19" s="27"/>
      <c r="W19" s="26">
        <f>100</f>
        <v>100</v>
      </c>
      <c r="X19" s="61"/>
      <c r="Y19" s="72" t="e">
        <f t="shared" si="0"/>
        <v>#VALUE!</v>
      </c>
    </row>
    <row r="20" spans="1:25" s="1" customFormat="1" ht="24" customHeight="1">
      <c r="A20" s="23" t="s">
        <v>53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36</v>
      </c>
      <c r="M20" s="24"/>
      <c r="N20" s="24" t="s">
        <v>54</v>
      </c>
      <c r="O20" s="24"/>
      <c r="P20" s="25">
        <f>1508200</f>
        <v>1508200</v>
      </c>
      <c r="Q20" s="25"/>
      <c r="R20" s="25"/>
      <c r="S20" s="25">
        <f>810559.23</f>
        <v>810559.23</v>
      </c>
      <c r="T20" s="25"/>
      <c r="U20" s="25"/>
      <c r="V20" s="25"/>
      <c r="W20" s="26">
        <f>697640.77</f>
        <v>697640.77</v>
      </c>
      <c r="X20" s="61"/>
      <c r="Y20" s="72">
        <f t="shared" si="0"/>
        <v>53.74348428590372</v>
      </c>
    </row>
    <row r="21" spans="1:25" s="1" customFormat="1" ht="24" customHeight="1">
      <c r="A21" s="23" t="s">
        <v>55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36</v>
      </c>
      <c r="M21" s="24"/>
      <c r="N21" s="24" t="s">
        <v>56</v>
      </c>
      <c r="O21" s="24"/>
      <c r="P21" s="25">
        <f>1508200</f>
        <v>1508200</v>
      </c>
      <c r="Q21" s="25"/>
      <c r="R21" s="25"/>
      <c r="S21" s="25">
        <f>810559.23</f>
        <v>810559.23</v>
      </c>
      <c r="T21" s="25"/>
      <c r="U21" s="25"/>
      <c r="V21" s="25"/>
      <c r="W21" s="26">
        <f>697640.77</f>
        <v>697640.77</v>
      </c>
      <c r="X21" s="61"/>
      <c r="Y21" s="72">
        <f t="shared" si="0"/>
        <v>53.74348428590372</v>
      </c>
    </row>
    <row r="22" spans="1:25" s="1" customFormat="1" ht="54.75" customHeight="1">
      <c r="A22" s="23" t="s">
        <v>57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36</v>
      </c>
      <c r="M22" s="24"/>
      <c r="N22" s="24" t="s">
        <v>58</v>
      </c>
      <c r="O22" s="24"/>
      <c r="P22" s="25">
        <f>545400</f>
        <v>545400</v>
      </c>
      <c r="Q22" s="25"/>
      <c r="R22" s="25"/>
      <c r="S22" s="25">
        <f>275683.81</f>
        <v>275683.81</v>
      </c>
      <c r="T22" s="25"/>
      <c r="U22" s="25"/>
      <c r="V22" s="25"/>
      <c r="W22" s="26">
        <f>269716.19</f>
        <v>269716.19</v>
      </c>
      <c r="X22" s="61"/>
      <c r="Y22" s="72">
        <f t="shared" si="0"/>
        <v>50.54708654198753</v>
      </c>
    </row>
    <row r="23" spans="1:25" s="1" customFormat="1" ht="54.75" customHeight="1">
      <c r="A23" s="23" t="s">
        <v>59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36</v>
      </c>
      <c r="M23" s="24"/>
      <c r="N23" s="24" t="s">
        <v>60</v>
      </c>
      <c r="O23" s="24"/>
      <c r="P23" s="25">
        <f>13700</f>
        <v>13700</v>
      </c>
      <c r="Q23" s="25"/>
      <c r="R23" s="25"/>
      <c r="S23" s="25">
        <f>4545.05</f>
        <v>4545.05</v>
      </c>
      <c r="T23" s="25"/>
      <c r="U23" s="25"/>
      <c r="V23" s="25"/>
      <c r="W23" s="26">
        <f>9154.95</f>
        <v>9154.95</v>
      </c>
      <c r="X23" s="61"/>
      <c r="Y23" s="72">
        <f t="shared" si="0"/>
        <v>33.175547445255475</v>
      </c>
    </row>
    <row r="24" spans="1:25" s="1" customFormat="1" ht="66" customHeight="1">
      <c r="A24" s="23" t="s">
        <v>61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36</v>
      </c>
      <c r="M24" s="24"/>
      <c r="N24" s="24" t="s">
        <v>62</v>
      </c>
      <c r="O24" s="24"/>
      <c r="P24" s="25">
        <f>949100</f>
        <v>949100</v>
      </c>
      <c r="Q24" s="25"/>
      <c r="R24" s="25"/>
      <c r="S24" s="25">
        <f>573726.28</f>
        <v>573726.28</v>
      </c>
      <c r="T24" s="25"/>
      <c r="U24" s="25"/>
      <c r="V24" s="25"/>
      <c r="W24" s="26">
        <f>375373.72</f>
        <v>375373.72</v>
      </c>
      <c r="X24" s="61"/>
      <c r="Y24" s="72">
        <f t="shared" si="0"/>
        <v>60.44950795490465</v>
      </c>
    </row>
    <row r="25" spans="1:25" s="1" customFormat="1" ht="45" customHeight="1">
      <c r="A25" s="23" t="s">
        <v>63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36</v>
      </c>
      <c r="M25" s="24"/>
      <c r="N25" s="24" t="s">
        <v>64</v>
      </c>
      <c r="O25" s="24"/>
      <c r="P25" s="27" t="s">
        <v>48</v>
      </c>
      <c r="Q25" s="27"/>
      <c r="R25" s="27"/>
      <c r="S25" s="25">
        <f>-43395.91</f>
        <v>-43395.91</v>
      </c>
      <c r="T25" s="25"/>
      <c r="U25" s="25"/>
      <c r="V25" s="25"/>
      <c r="W25" s="26">
        <f>0</f>
        <v>0</v>
      </c>
      <c r="X25" s="61"/>
      <c r="Y25" s="72" t="e">
        <f t="shared" si="0"/>
        <v>#VALUE!</v>
      </c>
    </row>
    <row r="26" spans="1:25" s="1" customFormat="1" ht="13.5" customHeight="1">
      <c r="A26" s="23" t="s">
        <v>65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36</v>
      </c>
      <c r="M26" s="24"/>
      <c r="N26" s="24" t="s">
        <v>66</v>
      </c>
      <c r="O26" s="24"/>
      <c r="P26" s="25">
        <f>761000</f>
        <v>761000</v>
      </c>
      <c r="Q26" s="25"/>
      <c r="R26" s="25"/>
      <c r="S26" s="25">
        <f>761582</f>
        <v>761582</v>
      </c>
      <c r="T26" s="25"/>
      <c r="U26" s="25"/>
      <c r="V26" s="25"/>
      <c r="W26" s="26">
        <f>-582</f>
        <v>-582</v>
      </c>
      <c r="X26" s="61"/>
      <c r="Y26" s="72">
        <f t="shared" si="0"/>
        <v>100.07647831800264</v>
      </c>
    </row>
    <row r="27" spans="1:25" s="1" customFormat="1" ht="13.5" customHeight="1">
      <c r="A27" s="23" t="s">
        <v>67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36</v>
      </c>
      <c r="M27" s="24"/>
      <c r="N27" s="24" t="s">
        <v>68</v>
      </c>
      <c r="O27" s="24"/>
      <c r="P27" s="25">
        <f>761000</f>
        <v>761000</v>
      </c>
      <c r="Q27" s="25"/>
      <c r="R27" s="25"/>
      <c r="S27" s="25">
        <f>761582</f>
        <v>761582</v>
      </c>
      <c r="T27" s="25"/>
      <c r="U27" s="25"/>
      <c r="V27" s="25"/>
      <c r="W27" s="26">
        <f>-582</f>
        <v>-582</v>
      </c>
      <c r="X27" s="61"/>
      <c r="Y27" s="72">
        <f t="shared" si="0"/>
        <v>100.07647831800264</v>
      </c>
    </row>
    <row r="28" spans="1:25" s="1" customFormat="1" ht="13.5" customHeight="1">
      <c r="A28" s="23" t="s">
        <v>67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36</v>
      </c>
      <c r="M28" s="24"/>
      <c r="N28" s="24" t="s">
        <v>69</v>
      </c>
      <c r="O28" s="24"/>
      <c r="P28" s="25">
        <f>761000</f>
        <v>761000</v>
      </c>
      <c r="Q28" s="25"/>
      <c r="R28" s="25"/>
      <c r="S28" s="25">
        <f>761582</f>
        <v>761582</v>
      </c>
      <c r="T28" s="25"/>
      <c r="U28" s="25"/>
      <c r="V28" s="25"/>
      <c r="W28" s="26">
        <f>-582</f>
        <v>-582</v>
      </c>
      <c r="X28" s="61"/>
      <c r="Y28" s="72">
        <f t="shared" si="0"/>
        <v>100.07647831800264</v>
      </c>
    </row>
    <row r="29" spans="1:25" s="1" customFormat="1" ht="13.5" customHeight="1">
      <c r="A29" s="23" t="s">
        <v>70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36</v>
      </c>
      <c r="M29" s="24"/>
      <c r="N29" s="24" t="s">
        <v>71</v>
      </c>
      <c r="O29" s="24"/>
      <c r="P29" s="25">
        <f>7287000</f>
        <v>7287000</v>
      </c>
      <c r="Q29" s="25"/>
      <c r="R29" s="25"/>
      <c r="S29" s="25">
        <f>1825576.98</f>
        <v>1825576.98</v>
      </c>
      <c r="T29" s="25"/>
      <c r="U29" s="25"/>
      <c r="V29" s="25"/>
      <c r="W29" s="26">
        <f>5461423.02</f>
        <v>5461423.02</v>
      </c>
      <c r="X29" s="61"/>
      <c r="Y29" s="72">
        <f t="shared" si="0"/>
        <v>25.052517908604365</v>
      </c>
    </row>
    <row r="30" spans="1:25" s="1" customFormat="1" ht="13.5" customHeight="1">
      <c r="A30" s="23" t="s">
        <v>72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36</v>
      </c>
      <c r="M30" s="24"/>
      <c r="N30" s="24" t="s">
        <v>73</v>
      </c>
      <c r="O30" s="24"/>
      <c r="P30" s="25">
        <f>770000</f>
        <v>770000</v>
      </c>
      <c r="Q30" s="25"/>
      <c r="R30" s="25"/>
      <c r="S30" s="25">
        <f>11087.15</f>
        <v>11087.15</v>
      </c>
      <c r="T30" s="25"/>
      <c r="U30" s="25"/>
      <c r="V30" s="25"/>
      <c r="W30" s="26">
        <f>758912.85</f>
        <v>758912.85</v>
      </c>
      <c r="X30" s="61"/>
      <c r="Y30" s="72">
        <f t="shared" si="0"/>
        <v>1.4398896103896104</v>
      </c>
    </row>
    <row r="31" spans="1:25" s="1" customFormat="1" ht="24" customHeight="1">
      <c r="A31" s="23" t="s">
        <v>74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36</v>
      </c>
      <c r="M31" s="24"/>
      <c r="N31" s="24" t="s">
        <v>75</v>
      </c>
      <c r="O31" s="24"/>
      <c r="P31" s="25">
        <f>770000</f>
        <v>770000</v>
      </c>
      <c r="Q31" s="25"/>
      <c r="R31" s="25"/>
      <c r="S31" s="25">
        <f>11087.15</f>
        <v>11087.15</v>
      </c>
      <c r="T31" s="25"/>
      <c r="U31" s="25"/>
      <c r="V31" s="25"/>
      <c r="W31" s="26">
        <f>758912.85</f>
        <v>758912.85</v>
      </c>
      <c r="X31" s="61"/>
      <c r="Y31" s="72">
        <f t="shared" si="0"/>
        <v>1.4398896103896104</v>
      </c>
    </row>
    <row r="32" spans="1:25" s="1" customFormat="1" ht="13.5" customHeight="1">
      <c r="A32" s="23" t="s">
        <v>76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 t="s">
        <v>36</v>
      </c>
      <c r="M32" s="24"/>
      <c r="N32" s="24" t="s">
        <v>77</v>
      </c>
      <c r="O32" s="24"/>
      <c r="P32" s="25">
        <f>6517000</f>
        <v>6517000</v>
      </c>
      <c r="Q32" s="25"/>
      <c r="R32" s="25"/>
      <c r="S32" s="25">
        <f>1814489.83</f>
        <v>1814489.83</v>
      </c>
      <c r="T32" s="25"/>
      <c r="U32" s="25"/>
      <c r="V32" s="25"/>
      <c r="W32" s="26">
        <f>4702510.17</f>
        <v>4702510.17</v>
      </c>
      <c r="X32" s="61"/>
      <c r="Y32" s="72">
        <f t="shared" si="0"/>
        <v>27.842409544268836</v>
      </c>
    </row>
    <row r="33" spans="1:25" s="1" customFormat="1" ht="13.5" customHeight="1">
      <c r="A33" s="23" t="s">
        <v>78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 t="s">
        <v>36</v>
      </c>
      <c r="M33" s="24"/>
      <c r="N33" s="24" t="s">
        <v>79</v>
      </c>
      <c r="O33" s="24"/>
      <c r="P33" s="25">
        <f>2472000</f>
        <v>2472000</v>
      </c>
      <c r="Q33" s="25"/>
      <c r="R33" s="25"/>
      <c r="S33" s="25">
        <f>1730681.43</f>
        <v>1730681.43</v>
      </c>
      <c r="T33" s="25"/>
      <c r="U33" s="25"/>
      <c r="V33" s="25"/>
      <c r="W33" s="26">
        <f>741318.57</f>
        <v>741318.57</v>
      </c>
      <c r="X33" s="61"/>
      <c r="Y33" s="72">
        <f t="shared" si="0"/>
        <v>70.01138470873785</v>
      </c>
    </row>
    <row r="34" spans="1:25" s="1" customFormat="1" ht="24" customHeight="1">
      <c r="A34" s="23" t="s">
        <v>80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 t="s">
        <v>36</v>
      </c>
      <c r="M34" s="24"/>
      <c r="N34" s="24" t="s">
        <v>81</v>
      </c>
      <c r="O34" s="24"/>
      <c r="P34" s="25">
        <f>2472000</f>
        <v>2472000</v>
      </c>
      <c r="Q34" s="25"/>
      <c r="R34" s="25"/>
      <c r="S34" s="25">
        <f>1730681.43</f>
        <v>1730681.43</v>
      </c>
      <c r="T34" s="25"/>
      <c r="U34" s="25"/>
      <c r="V34" s="25"/>
      <c r="W34" s="26">
        <f>741318.57</f>
        <v>741318.57</v>
      </c>
      <c r="X34" s="61"/>
      <c r="Y34" s="72">
        <f t="shared" si="0"/>
        <v>70.01138470873785</v>
      </c>
    </row>
    <row r="35" spans="1:25" s="1" customFormat="1" ht="13.5" customHeight="1">
      <c r="A35" s="23" t="s">
        <v>82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4" t="s">
        <v>36</v>
      </c>
      <c r="M35" s="24"/>
      <c r="N35" s="24" t="s">
        <v>83</v>
      </c>
      <c r="O35" s="24"/>
      <c r="P35" s="25">
        <f>4045000</f>
        <v>4045000</v>
      </c>
      <c r="Q35" s="25"/>
      <c r="R35" s="25"/>
      <c r="S35" s="25">
        <f>83808.4</f>
        <v>83808.4</v>
      </c>
      <c r="T35" s="25"/>
      <c r="U35" s="25"/>
      <c r="V35" s="25"/>
      <c r="W35" s="26">
        <f>3961191.6</f>
        <v>3961191.6</v>
      </c>
      <c r="X35" s="61"/>
      <c r="Y35" s="72">
        <f t="shared" si="0"/>
        <v>2.071901112484549</v>
      </c>
    </row>
    <row r="36" spans="1:25" s="1" customFormat="1" ht="24" customHeight="1">
      <c r="A36" s="23" t="s">
        <v>84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4" t="s">
        <v>36</v>
      </c>
      <c r="M36" s="24"/>
      <c r="N36" s="24" t="s">
        <v>85</v>
      </c>
      <c r="O36" s="24"/>
      <c r="P36" s="25">
        <f>4045000</f>
        <v>4045000</v>
      </c>
      <c r="Q36" s="25"/>
      <c r="R36" s="25"/>
      <c r="S36" s="25">
        <f>83808.4</f>
        <v>83808.4</v>
      </c>
      <c r="T36" s="25"/>
      <c r="U36" s="25"/>
      <c r="V36" s="25"/>
      <c r="W36" s="26">
        <f>3961191.6</f>
        <v>3961191.6</v>
      </c>
      <c r="X36" s="61"/>
      <c r="Y36" s="72">
        <f t="shared" si="0"/>
        <v>2.071901112484549</v>
      </c>
    </row>
    <row r="37" spans="1:25" s="1" customFormat="1" ht="24" customHeight="1">
      <c r="A37" s="23" t="s">
        <v>86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4" t="s">
        <v>36</v>
      </c>
      <c r="M37" s="24"/>
      <c r="N37" s="24" t="s">
        <v>87</v>
      </c>
      <c r="O37" s="24"/>
      <c r="P37" s="25">
        <f>240000</f>
        <v>240000</v>
      </c>
      <c r="Q37" s="25"/>
      <c r="R37" s="25"/>
      <c r="S37" s="25">
        <f>190474.11</f>
        <v>190474.11</v>
      </c>
      <c r="T37" s="25"/>
      <c r="U37" s="25"/>
      <c r="V37" s="25"/>
      <c r="W37" s="26">
        <f>49525.89</f>
        <v>49525.89</v>
      </c>
      <c r="X37" s="61"/>
      <c r="Y37" s="72">
        <f t="shared" si="0"/>
        <v>79.3642125</v>
      </c>
    </row>
    <row r="38" spans="1:25" s="1" customFormat="1" ht="54.75" customHeight="1">
      <c r="A38" s="23" t="s">
        <v>88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4" t="s">
        <v>36</v>
      </c>
      <c r="M38" s="24"/>
      <c r="N38" s="24" t="s">
        <v>89</v>
      </c>
      <c r="O38" s="24"/>
      <c r="P38" s="25">
        <f>240000</f>
        <v>240000</v>
      </c>
      <c r="Q38" s="25"/>
      <c r="R38" s="25"/>
      <c r="S38" s="25">
        <f>190474.11</f>
        <v>190474.11</v>
      </c>
      <c r="T38" s="25"/>
      <c r="U38" s="25"/>
      <c r="V38" s="25"/>
      <c r="W38" s="26">
        <f>49525.89</f>
        <v>49525.89</v>
      </c>
      <c r="X38" s="61"/>
      <c r="Y38" s="72">
        <f t="shared" si="0"/>
        <v>79.3642125</v>
      </c>
    </row>
    <row r="39" spans="1:25" s="1" customFormat="1" ht="45" customHeight="1">
      <c r="A39" s="23" t="s">
        <v>90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4" t="s">
        <v>36</v>
      </c>
      <c r="M39" s="24"/>
      <c r="N39" s="24" t="s">
        <v>91</v>
      </c>
      <c r="O39" s="24"/>
      <c r="P39" s="25">
        <f>240000</f>
        <v>240000</v>
      </c>
      <c r="Q39" s="25"/>
      <c r="R39" s="25"/>
      <c r="S39" s="25">
        <f>190474.11</f>
        <v>190474.11</v>
      </c>
      <c r="T39" s="25"/>
      <c r="U39" s="25"/>
      <c r="V39" s="25"/>
      <c r="W39" s="26">
        <f>49525.89</f>
        <v>49525.89</v>
      </c>
      <c r="X39" s="61"/>
      <c r="Y39" s="72">
        <f t="shared" si="0"/>
        <v>79.3642125</v>
      </c>
    </row>
    <row r="40" spans="1:25" s="1" customFormat="1" ht="33.75" customHeight="1">
      <c r="A40" s="23" t="s">
        <v>92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4" t="s">
        <v>36</v>
      </c>
      <c r="M40" s="24"/>
      <c r="N40" s="24" t="s">
        <v>93</v>
      </c>
      <c r="O40" s="24"/>
      <c r="P40" s="25">
        <f>240000</f>
        <v>240000</v>
      </c>
      <c r="Q40" s="25"/>
      <c r="R40" s="25"/>
      <c r="S40" s="25">
        <f>190474.11</f>
        <v>190474.11</v>
      </c>
      <c r="T40" s="25"/>
      <c r="U40" s="25"/>
      <c r="V40" s="25"/>
      <c r="W40" s="26">
        <f>49525.89</f>
        <v>49525.89</v>
      </c>
      <c r="X40" s="61"/>
      <c r="Y40" s="72">
        <f t="shared" si="0"/>
        <v>79.3642125</v>
      </c>
    </row>
    <row r="41" spans="1:25" s="1" customFormat="1" ht="24" customHeight="1">
      <c r="A41" s="23" t="s">
        <v>94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4" t="s">
        <v>36</v>
      </c>
      <c r="M41" s="24"/>
      <c r="N41" s="24" t="s">
        <v>95</v>
      </c>
      <c r="O41" s="24"/>
      <c r="P41" s="25">
        <f>10559.79</f>
        <v>10559.79</v>
      </c>
      <c r="Q41" s="25"/>
      <c r="R41" s="25"/>
      <c r="S41" s="25">
        <f>10559.79</f>
        <v>10559.79</v>
      </c>
      <c r="T41" s="25"/>
      <c r="U41" s="25"/>
      <c r="V41" s="25"/>
      <c r="W41" s="26">
        <f aca="true" t="shared" si="1" ref="W41:W47">0</f>
        <v>0</v>
      </c>
      <c r="X41" s="61"/>
      <c r="Y41" s="72">
        <f t="shared" si="0"/>
        <v>100</v>
      </c>
    </row>
    <row r="42" spans="1:25" s="1" customFormat="1" ht="13.5" customHeight="1">
      <c r="A42" s="23" t="s">
        <v>96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4" t="s">
        <v>36</v>
      </c>
      <c r="M42" s="24"/>
      <c r="N42" s="24" t="s">
        <v>97</v>
      </c>
      <c r="O42" s="24"/>
      <c r="P42" s="27" t="s">
        <v>48</v>
      </c>
      <c r="Q42" s="27"/>
      <c r="R42" s="27"/>
      <c r="S42" s="25">
        <f>0</f>
        <v>0</v>
      </c>
      <c r="T42" s="25"/>
      <c r="U42" s="25"/>
      <c r="V42" s="25"/>
      <c r="W42" s="26">
        <f t="shared" si="1"/>
        <v>0</v>
      </c>
      <c r="X42" s="61"/>
      <c r="Y42" s="72" t="e">
        <f t="shared" si="0"/>
        <v>#VALUE!</v>
      </c>
    </row>
    <row r="43" spans="1:25" s="1" customFormat="1" ht="13.5" customHeight="1">
      <c r="A43" s="23" t="s">
        <v>98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4" t="s">
        <v>36</v>
      </c>
      <c r="M43" s="24"/>
      <c r="N43" s="24" t="s">
        <v>99</v>
      </c>
      <c r="O43" s="24"/>
      <c r="P43" s="27" t="s">
        <v>48</v>
      </c>
      <c r="Q43" s="27"/>
      <c r="R43" s="27"/>
      <c r="S43" s="25">
        <f>0</f>
        <v>0</v>
      </c>
      <c r="T43" s="25"/>
      <c r="U43" s="25"/>
      <c r="V43" s="25"/>
      <c r="W43" s="26">
        <f t="shared" si="1"/>
        <v>0</v>
      </c>
      <c r="X43" s="61"/>
      <c r="Y43" s="72" t="e">
        <f t="shared" si="0"/>
        <v>#VALUE!</v>
      </c>
    </row>
    <row r="44" spans="1:25" s="1" customFormat="1" ht="24" customHeight="1">
      <c r="A44" s="23" t="s">
        <v>100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4" t="s">
        <v>36</v>
      </c>
      <c r="M44" s="24"/>
      <c r="N44" s="24" t="s">
        <v>101</v>
      </c>
      <c r="O44" s="24"/>
      <c r="P44" s="27" t="s">
        <v>48</v>
      </c>
      <c r="Q44" s="27"/>
      <c r="R44" s="27"/>
      <c r="S44" s="25">
        <f>0</f>
        <v>0</v>
      </c>
      <c r="T44" s="25"/>
      <c r="U44" s="25"/>
      <c r="V44" s="25"/>
      <c r="W44" s="26">
        <f t="shared" si="1"/>
        <v>0</v>
      </c>
      <c r="X44" s="61"/>
      <c r="Y44" s="72" t="e">
        <f t="shared" si="0"/>
        <v>#VALUE!</v>
      </c>
    </row>
    <row r="45" spans="1:25" s="1" customFormat="1" ht="13.5" customHeight="1">
      <c r="A45" s="23" t="s">
        <v>102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4" t="s">
        <v>36</v>
      </c>
      <c r="M45" s="24"/>
      <c r="N45" s="24" t="s">
        <v>103</v>
      </c>
      <c r="O45" s="24"/>
      <c r="P45" s="25">
        <f>10559.79</f>
        <v>10559.79</v>
      </c>
      <c r="Q45" s="25"/>
      <c r="R45" s="25"/>
      <c r="S45" s="25">
        <f>10559.79</f>
        <v>10559.79</v>
      </c>
      <c r="T45" s="25"/>
      <c r="U45" s="25"/>
      <c r="V45" s="25"/>
      <c r="W45" s="26">
        <f t="shared" si="1"/>
        <v>0</v>
      </c>
      <c r="X45" s="61"/>
      <c r="Y45" s="72">
        <f t="shared" si="0"/>
        <v>100</v>
      </c>
    </row>
    <row r="46" spans="1:25" s="1" customFormat="1" ht="13.5" customHeight="1">
      <c r="A46" s="23" t="s">
        <v>104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4" t="s">
        <v>36</v>
      </c>
      <c r="M46" s="24"/>
      <c r="N46" s="24" t="s">
        <v>105</v>
      </c>
      <c r="O46" s="24"/>
      <c r="P46" s="25">
        <f>10559.79</f>
        <v>10559.79</v>
      </c>
      <c r="Q46" s="25"/>
      <c r="R46" s="25"/>
      <c r="S46" s="25">
        <f>10559.79</f>
        <v>10559.79</v>
      </c>
      <c r="T46" s="25"/>
      <c r="U46" s="25"/>
      <c r="V46" s="25"/>
      <c r="W46" s="26">
        <f t="shared" si="1"/>
        <v>0</v>
      </c>
      <c r="X46" s="61"/>
      <c r="Y46" s="72">
        <f t="shared" si="0"/>
        <v>100</v>
      </c>
    </row>
    <row r="47" spans="1:25" s="1" customFormat="1" ht="13.5" customHeight="1">
      <c r="A47" s="23" t="s">
        <v>106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4" t="s">
        <v>36</v>
      </c>
      <c r="M47" s="24"/>
      <c r="N47" s="24" t="s">
        <v>107</v>
      </c>
      <c r="O47" s="24"/>
      <c r="P47" s="25">
        <f>10559.79</f>
        <v>10559.79</v>
      </c>
      <c r="Q47" s="25"/>
      <c r="R47" s="25"/>
      <c r="S47" s="25">
        <f>10559.79</f>
        <v>10559.79</v>
      </c>
      <c r="T47" s="25"/>
      <c r="U47" s="25"/>
      <c r="V47" s="25"/>
      <c r="W47" s="26">
        <f t="shared" si="1"/>
        <v>0</v>
      </c>
      <c r="X47" s="61"/>
      <c r="Y47" s="72">
        <f t="shared" si="0"/>
        <v>100</v>
      </c>
    </row>
    <row r="48" spans="1:25" s="1" customFormat="1" ht="13.5" customHeight="1">
      <c r="A48" s="23" t="s">
        <v>108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4" t="s">
        <v>36</v>
      </c>
      <c r="M48" s="24"/>
      <c r="N48" s="24" t="s">
        <v>109</v>
      </c>
      <c r="O48" s="24"/>
      <c r="P48" s="25">
        <f>22000</f>
        <v>22000</v>
      </c>
      <c r="Q48" s="25"/>
      <c r="R48" s="25"/>
      <c r="S48" s="25">
        <f>17435.18</f>
        <v>17435.18</v>
      </c>
      <c r="T48" s="25"/>
      <c r="U48" s="25"/>
      <c r="V48" s="25"/>
      <c r="W48" s="26">
        <f>4564.82</f>
        <v>4564.82</v>
      </c>
      <c r="X48" s="61"/>
      <c r="Y48" s="72">
        <f t="shared" si="0"/>
        <v>79.25081818181819</v>
      </c>
    </row>
    <row r="49" spans="1:25" s="1" customFormat="1" ht="33.75" customHeight="1">
      <c r="A49" s="23" t="s">
        <v>110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4" t="s">
        <v>36</v>
      </c>
      <c r="M49" s="24"/>
      <c r="N49" s="24" t="s">
        <v>111</v>
      </c>
      <c r="O49" s="24"/>
      <c r="P49" s="25">
        <f>15000</f>
        <v>15000</v>
      </c>
      <c r="Q49" s="25"/>
      <c r="R49" s="25"/>
      <c r="S49" s="25">
        <f>15000</f>
        <v>15000</v>
      </c>
      <c r="T49" s="25"/>
      <c r="U49" s="25"/>
      <c r="V49" s="25"/>
      <c r="W49" s="26">
        <f>0</f>
        <v>0</v>
      </c>
      <c r="X49" s="61"/>
      <c r="Y49" s="72">
        <f t="shared" si="0"/>
        <v>100</v>
      </c>
    </row>
    <row r="50" spans="1:25" s="1" customFormat="1" ht="45" customHeight="1">
      <c r="A50" s="23" t="s">
        <v>112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4" t="s">
        <v>36</v>
      </c>
      <c r="M50" s="24"/>
      <c r="N50" s="24" t="s">
        <v>113</v>
      </c>
      <c r="O50" s="24"/>
      <c r="P50" s="25">
        <f>15000</f>
        <v>15000</v>
      </c>
      <c r="Q50" s="25"/>
      <c r="R50" s="25"/>
      <c r="S50" s="25">
        <f>15000</f>
        <v>15000</v>
      </c>
      <c r="T50" s="25"/>
      <c r="U50" s="25"/>
      <c r="V50" s="25"/>
      <c r="W50" s="26">
        <f>0</f>
        <v>0</v>
      </c>
      <c r="X50" s="61"/>
      <c r="Y50" s="72">
        <f t="shared" si="0"/>
        <v>100</v>
      </c>
    </row>
    <row r="51" spans="1:25" s="1" customFormat="1" ht="24" customHeight="1">
      <c r="A51" s="23" t="s">
        <v>114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4" t="s">
        <v>36</v>
      </c>
      <c r="M51" s="24"/>
      <c r="N51" s="24" t="s">
        <v>115</v>
      </c>
      <c r="O51" s="24"/>
      <c r="P51" s="25">
        <f>7000</f>
        <v>7000</v>
      </c>
      <c r="Q51" s="25"/>
      <c r="R51" s="25"/>
      <c r="S51" s="25">
        <f>2435.18</f>
        <v>2435.18</v>
      </c>
      <c r="T51" s="25"/>
      <c r="U51" s="25"/>
      <c r="V51" s="25"/>
      <c r="W51" s="26">
        <f>4564.82</f>
        <v>4564.82</v>
      </c>
      <c r="X51" s="61"/>
      <c r="Y51" s="72">
        <f t="shared" si="0"/>
        <v>34.78828571428571</v>
      </c>
    </row>
    <row r="52" spans="1:25" s="1" customFormat="1" ht="24" customHeight="1">
      <c r="A52" s="23" t="s">
        <v>116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4" t="s">
        <v>36</v>
      </c>
      <c r="M52" s="24"/>
      <c r="N52" s="24" t="s">
        <v>117</v>
      </c>
      <c r="O52" s="24"/>
      <c r="P52" s="25">
        <f>7000</f>
        <v>7000</v>
      </c>
      <c r="Q52" s="25"/>
      <c r="R52" s="25"/>
      <c r="S52" s="25">
        <f>2435.18</f>
        <v>2435.18</v>
      </c>
      <c r="T52" s="25"/>
      <c r="U52" s="25"/>
      <c r="V52" s="25"/>
      <c r="W52" s="26">
        <f>4564.82</f>
        <v>4564.82</v>
      </c>
      <c r="X52" s="61"/>
      <c r="Y52" s="72">
        <f t="shared" si="0"/>
        <v>34.78828571428571</v>
      </c>
    </row>
    <row r="53" spans="1:25" s="1" customFormat="1" ht="13.5" customHeight="1">
      <c r="A53" s="23" t="s">
        <v>118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4" t="s">
        <v>36</v>
      </c>
      <c r="M53" s="24"/>
      <c r="N53" s="24" t="s">
        <v>119</v>
      </c>
      <c r="O53" s="24"/>
      <c r="P53" s="25">
        <f>7941061.51</f>
        <v>7941061.51</v>
      </c>
      <c r="Q53" s="25"/>
      <c r="R53" s="25"/>
      <c r="S53" s="25">
        <f>3755001.39</f>
        <v>3755001.39</v>
      </c>
      <c r="T53" s="25"/>
      <c r="U53" s="25"/>
      <c r="V53" s="25"/>
      <c r="W53" s="26">
        <f>4186060.12</f>
        <v>4186060.12</v>
      </c>
      <c r="X53" s="61"/>
      <c r="Y53" s="72">
        <f t="shared" si="0"/>
        <v>47.285887223910954</v>
      </c>
    </row>
    <row r="54" spans="1:25" s="1" customFormat="1" ht="24" customHeight="1">
      <c r="A54" s="23" t="s">
        <v>120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4" t="s">
        <v>36</v>
      </c>
      <c r="M54" s="24"/>
      <c r="N54" s="24" t="s">
        <v>121</v>
      </c>
      <c r="O54" s="24"/>
      <c r="P54" s="25">
        <f>8015000</f>
        <v>8015000</v>
      </c>
      <c r="Q54" s="25"/>
      <c r="R54" s="25"/>
      <c r="S54" s="25">
        <f>3828939.88</f>
        <v>3828939.88</v>
      </c>
      <c r="T54" s="25"/>
      <c r="U54" s="25"/>
      <c r="V54" s="25"/>
      <c r="W54" s="26">
        <f>4186060.12</f>
        <v>4186060.12</v>
      </c>
      <c r="X54" s="61"/>
      <c r="Y54" s="72">
        <f t="shared" si="0"/>
        <v>47.77217567061759</v>
      </c>
    </row>
    <row r="55" spans="1:25" s="1" customFormat="1" ht="24" customHeight="1">
      <c r="A55" s="23" t="s">
        <v>122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4" t="s">
        <v>36</v>
      </c>
      <c r="M55" s="24"/>
      <c r="N55" s="24" t="s">
        <v>123</v>
      </c>
      <c r="O55" s="24"/>
      <c r="P55" s="25">
        <f>3671000</f>
        <v>3671000</v>
      </c>
      <c r="Q55" s="25"/>
      <c r="R55" s="25"/>
      <c r="S55" s="25">
        <f>2035600</f>
        <v>2035600</v>
      </c>
      <c r="T55" s="25"/>
      <c r="U55" s="25"/>
      <c r="V55" s="25"/>
      <c r="W55" s="26">
        <f>1635400</f>
        <v>1635400</v>
      </c>
      <c r="X55" s="61"/>
      <c r="Y55" s="72">
        <f t="shared" si="0"/>
        <v>55.450830836284396</v>
      </c>
    </row>
    <row r="56" spans="1:25" s="1" customFormat="1" ht="13.5" customHeight="1">
      <c r="A56" s="23" t="s">
        <v>124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4" t="s">
        <v>36</v>
      </c>
      <c r="M56" s="24"/>
      <c r="N56" s="24" t="s">
        <v>125</v>
      </c>
      <c r="O56" s="24"/>
      <c r="P56" s="25">
        <f>3671000</f>
        <v>3671000</v>
      </c>
      <c r="Q56" s="25"/>
      <c r="R56" s="25"/>
      <c r="S56" s="25">
        <f>2035600</f>
        <v>2035600</v>
      </c>
      <c r="T56" s="25"/>
      <c r="U56" s="25"/>
      <c r="V56" s="25"/>
      <c r="W56" s="26">
        <f>1635400</f>
        <v>1635400</v>
      </c>
      <c r="X56" s="61"/>
      <c r="Y56" s="72">
        <f t="shared" si="0"/>
        <v>55.450830836284396</v>
      </c>
    </row>
    <row r="57" spans="1:25" s="1" customFormat="1" ht="24" customHeight="1">
      <c r="A57" s="23" t="s">
        <v>126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4" t="s">
        <v>36</v>
      </c>
      <c r="M57" s="24"/>
      <c r="N57" s="24" t="s">
        <v>127</v>
      </c>
      <c r="O57" s="24"/>
      <c r="P57" s="25">
        <f>3671000</f>
        <v>3671000</v>
      </c>
      <c r="Q57" s="25"/>
      <c r="R57" s="25"/>
      <c r="S57" s="25">
        <f>2035600</f>
        <v>2035600</v>
      </c>
      <c r="T57" s="25"/>
      <c r="U57" s="25"/>
      <c r="V57" s="25"/>
      <c r="W57" s="26">
        <f>1635400</f>
        <v>1635400</v>
      </c>
      <c r="X57" s="61"/>
      <c r="Y57" s="72">
        <f t="shared" si="0"/>
        <v>55.450830836284396</v>
      </c>
    </row>
    <row r="58" spans="1:25" s="1" customFormat="1" ht="24" customHeight="1">
      <c r="A58" s="23" t="s">
        <v>128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4" t="s">
        <v>36</v>
      </c>
      <c r="M58" s="24"/>
      <c r="N58" s="24" t="s">
        <v>129</v>
      </c>
      <c r="O58" s="24"/>
      <c r="P58" s="25">
        <f>4149800</f>
        <v>4149800</v>
      </c>
      <c r="Q58" s="25"/>
      <c r="R58" s="25"/>
      <c r="S58" s="25">
        <f>1714662.21</f>
        <v>1714662.21</v>
      </c>
      <c r="T58" s="25"/>
      <c r="U58" s="25"/>
      <c r="V58" s="25"/>
      <c r="W58" s="26">
        <f>2435137.79</f>
        <v>2435137.79</v>
      </c>
      <c r="X58" s="61"/>
      <c r="Y58" s="72">
        <f t="shared" si="0"/>
        <v>41.31915297122753</v>
      </c>
    </row>
    <row r="59" spans="1:25" s="1" customFormat="1" ht="13.5" customHeight="1">
      <c r="A59" s="23" t="s">
        <v>130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4" t="s">
        <v>36</v>
      </c>
      <c r="M59" s="24"/>
      <c r="N59" s="24" t="s">
        <v>131</v>
      </c>
      <c r="O59" s="24"/>
      <c r="P59" s="25">
        <f>4149800</f>
        <v>4149800</v>
      </c>
      <c r="Q59" s="25"/>
      <c r="R59" s="25"/>
      <c r="S59" s="25">
        <f>1714662.21</f>
        <v>1714662.21</v>
      </c>
      <c r="T59" s="25"/>
      <c r="U59" s="25"/>
      <c r="V59" s="25"/>
      <c r="W59" s="26">
        <f>2435137.79</f>
        <v>2435137.79</v>
      </c>
      <c r="X59" s="61"/>
      <c r="Y59" s="72">
        <f t="shared" si="0"/>
        <v>41.31915297122753</v>
      </c>
    </row>
    <row r="60" spans="1:25" s="1" customFormat="1" ht="13.5" customHeight="1">
      <c r="A60" s="23" t="s">
        <v>132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4" t="s">
        <v>36</v>
      </c>
      <c r="M60" s="24"/>
      <c r="N60" s="24" t="s">
        <v>133</v>
      </c>
      <c r="O60" s="24"/>
      <c r="P60" s="25">
        <f>4149800</f>
        <v>4149800</v>
      </c>
      <c r="Q60" s="25"/>
      <c r="R60" s="25"/>
      <c r="S60" s="25">
        <f>1714662.21</f>
        <v>1714662.21</v>
      </c>
      <c r="T60" s="25"/>
      <c r="U60" s="25"/>
      <c r="V60" s="25"/>
      <c r="W60" s="26">
        <f>2435137.79</f>
        <v>2435137.79</v>
      </c>
      <c r="X60" s="61"/>
      <c r="Y60" s="72">
        <f t="shared" si="0"/>
        <v>41.31915297122753</v>
      </c>
    </row>
    <row r="61" spans="1:25" s="1" customFormat="1" ht="24" customHeight="1">
      <c r="A61" s="23" t="s">
        <v>134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4" t="s">
        <v>36</v>
      </c>
      <c r="M61" s="24"/>
      <c r="N61" s="24" t="s">
        <v>135</v>
      </c>
      <c r="O61" s="24"/>
      <c r="P61" s="25">
        <f>194200</f>
        <v>194200</v>
      </c>
      <c r="Q61" s="25"/>
      <c r="R61" s="25"/>
      <c r="S61" s="25">
        <f>78677.67</f>
        <v>78677.67</v>
      </c>
      <c r="T61" s="25"/>
      <c r="U61" s="25"/>
      <c r="V61" s="25"/>
      <c r="W61" s="26">
        <f>115522.33</f>
        <v>115522.33</v>
      </c>
      <c r="X61" s="61"/>
      <c r="Y61" s="72">
        <f t="shared" si="0"/>
        <v>40.51373326467559</v>
      </c>
    </row>
    <row r="62" spans="1:25" s="1" customFormat="1" ht="24" customHeight="1">
      <c r="A62" s="23" t="s">
        <v>136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4" t="s">
        <v>36</v>
      </c>
      <c r="M62" s="24"/>
      <c r="N62" s="24" t="s">
        <v>137</v>
      </c>
      <c r="O62" s="24"/>
      <c r="P62" s="25">
        <f>190400</f>
        <v>190400</v>
      </c>
      <c r="Q62" s="25"/>
      <c r="R62" s="25"/>
      <c r="S62" s="25">
        <f>78677.67</f>
        <v>78677.67</v>
      </c>
      <c r="T62" s="25"/>
      <c r="U62" s="25"/>
      <c r="V62" s="25"/>
      <c r="W62" s="26">
        <f>111722.33</f>
        <v>111722.33</v>
      </c>
      <c r="X62" s="61"/>
      <c r="Y62" s="72">
        <f t="shared" si="0"/>
        <v>41.322305672268904</v>
      </c>
    </row>
    <row r="63" spans="1:25" s="1" customFormat="1" ht="24" customHeight="1">
      <c r="A63" s="23" t="s">
        <v>138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4" t="s">
        <v>36</v>
      </c>
      <c r="M63" s="24"/>
      <c r="N63" s="24" t="s">
        <v>139</v>
      </c>
      <c r="O63" s="24"/>
      <c r="P63" s="25">
        <f>190400</f>
        <v>190400</v>
      </c>
      <c r="Q63" s="25"/>
      <c r="R63" s="25"/>
      <c r="S63" s="25">
        <f>78677.67</f>
        <v>78677.67</v>
      </c>
      <c r="T63" s="25"/>
      <c r="U63" s="25"/>
      <c r="V63" s="25"/>
      <c r="W63" s="26">
        <f>111722.33</f>
        <v>111722.33</v>
      </c>
      <c r="X63" s="61"/>
      <c r="Y63" s="72">
        <f t="shared" si="0"/>
        <v>41.322305672268904</v>
      </c>
    </row>
    <row r="64" spans="1:25" s="1" customFormat="1" ht="24" customHeight="1">
      <c r="A64" s="23" t="s">
        <v>140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4" t="s">
        <v>36</v>
      </c>
      <c r="M64" s="24"/>
      <c r="N64" s="24" t="s">
        <v>141</v>
      </c>
      <c r="O64" s="24"/>
      <c r="P64" s="25">
        <f>3800</f>
        <v>3800</v>
      </c>
      <c r="Q64" s="25"/>
      <c r="R64" s="25"/>
      <c r="S64" s="27" t="s">
        <v>48</v>
      </c>
      <c r="T64" s="27"/>
      <c r="U64" s="27"/>
      <c r="V64" s="27"/>
      <c r="W64" s="26">
        <f>3800</f>
        <v>3800</v>
      </c>
      <c r="X64" s="61"/>
      <c r="Y64" s="72" t="e">
        <f t="shared" si="0"/>
        <v>#VALUE!</v>
      </c>
    </row>
    <row r="65" spans="1:25" s="1" customFormat="1" ht="24" customHeight="1">
      <c r="A65" s="23" t="s">
        <v>142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4" t="s">
        <v>36</v>
      </c>
      <c r="M65" s="24"/>
      <c r="N65" s="24" t="s">
        <v>143</v>
      </c>
      <c r="O65" s="24"/>
      <c r="P65" s="25">
        <f>3800</f>
        <v>3800</v>
      </c>
      <c r="Q65" s="25"/>
      <c r="R65" s="25"/>
      <c r="S65" s="27" t="s">
        <v>48</v>
      </c>
      <c r="T65" s="27"/>
      <c r="U65" s="27"/>
      <c r="V65" s="27"/>
      <c r="W65" s="26">
        <f>3800</f>
        <v>3800</v>
      </c>
      <c r="X65" s="61"/>
      <c r="Y65" s="72" t="e">
        <f t="shared" si="0"/>
        <v>#VALUE!</v>
      </c>
    </row>
    <row r="66" spans="1:25" s="1" customFormat="1" ht="54.75" customHeight="1">
      <c r="A66" s="23" t="s">
        <v>144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4" t="s">
        <v>36</v>
      </c>
      <c r="M66" s="24"/>
      <c r="N66" s="24" t="s">
        <v>145</v>
      </c>
      <c r="O66" s="24"/>
      <c r="P66" s="27" t="s">
        <v>48</v>
      </c>
      <c r="Q66" s="27"/>
      <c r="R66" s="27"/>
      <c r="S66" s="25">
        <f>0</f>
        <v>0</v>
      </c>
      <c r="T66" s="25"/>
      <c r="U66" s="25"/>
      <c r="V66" s="25"/>
      <c r="W66" s="26">
        <f>0</f>
        <v>0</v>
      </c>
      <c r="X66" s="61"/>
      <c r="Y66" s="72" t="e">
        <f t="shared" si="0"/>
        <v>#VALUE!</v>
      </c>
    </row>
    <row r="67" spans="1:25" s="1" customFormat="1" ht="54.75" customHeight="1">
      <c r="A67" s="23" t="s">
        <v>146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4" t="s">
        <v>36</v>
      </c>
      <c r="M67" s="24"/>
      <c r="N67" s="24" t="s">
        <v>147</v>
      </c>
      <c r="O67" s="24"/>
      <c r="P67" s="27" t="s">
        <v>48</v>
      </c>
      <c r="Q67" s="27"/>
      <c r="R67" s="27"/>
      <c r="S67" s="25">
        <f>0</f>
        <v>0</v>
      </c>
      <c r="T67" s="25"/>
      <c r="U67" s="25"/>
      <c r="V67" s="25"/>
      <c r="W67" s="26">
        <f>0</f>
        <v>0</v>
      </c>
      <c r="X67" s="61"/>
      <c r="Y67" s="72" t="e">
        <f t="shared" si="0"/>
        <v>#VALUE!</v>
      </c>
    </row>
    <row r="68" spans="1:25" s="1" customFormat="1" ht="24" customHeight="1">
      <c r="A68" s="23" t="s">
        <v>148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4" t="s">
        <v>36</v>
      </c>
      <c r="M68" s="24"/>
      <c r="N68" s="24" t="s">
        <v>149</v>
      </c>
      <c r="O68" s="24"/>
      <c r="P68" s="25">
        <f>-73938.49</f>
        <v>-73938.49</v>
      </c>
      <c r="Q68" s="25"/>
      <c r="R68" s="25"/>
      <c r="S68" s="25">
        <f>-73938.49</f>
        <v>-73938.49</v>
      </c>
      <c r="T68" s="25"/>
      <c r="U68" s="25"/>
      <c r="V68" s="25"/>
      <c r="W68" s="26">
        <f>0</f>
        <v>0</v>
      </c>
      <c r="X68" s="61"/>
      <c r="Y68" s="72">
        <f t="shared" si="0"/>
        <v>100</v>
      </c>
    </row>
    <row r="69" spans="1:25" s="1" customFormat="1" ht="24" customHeight="1">
      <c r="A69" s="23" t="s">
        <v>150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4" t="s">
        <v>36</v>
      </c>
      <c r="M69" s="24"/>
      <c r="N69" s="24" t="s">
        <v>151</v>
      </c>
      <c r="O69" s="24"/>
      <c r="P69" s="25">
        <f>-73938.49</f>
        <v>-73938.49</v>
      </c>
      <c r="Q69" s="25"/>
      <c r="R69" s="25"/>
      <c r="S69" s="25">
        <f>-73938.49</f>
        <v>-73938.49</v>
      </c>
      <c r="T69" s="25"/>
      <c r="U69" s="25"/>
      <c r="V69" s="25"/>
      <c r="W69" s="26">
        <f>0</f>
        <v>0</v>
      </c>
      <c r="X69" s="61"/>
      <c r="Y69" s="72">
        <f t="shared" si="0"/>
        <v>100</v>
      </c>
    </row>
    <row r="70" spans="1:25" s="1" customFormat="1" ht="13.5" customHeight="1">
      <c r="A70" s="28" t="s">
        <v>11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72" t="e">
        <f t="shared" si="0"/>
        <v>#DIV/0!</v>
      </c>
    </row>
    <row r="71" spans="1:25" s="1" customFormat="1" ht="13.5" customHeight="1">
      <c r="A71" s="12" t="s">
        <v>152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72" t="e">
        <f t="shared" si="0"/>
        <v>#DIV/0!</v>
      </c>
    </row>
    <row r="72" spans="1:25" s="1" customFormat="1" ht="34.5" customHeight="1">
      <c r="A72" s="13" t="s">
        <v>23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 t="s">
        <v>24</v>
      </c>
      <c r="M72" s="13"/>
      <c r="N72" s="13" t="s">
        <v>153</v>
      </c>
      <c r="O72" s="13"/>
      <c r="P72" s="14" t="s">
        <v>26</v>
      </c>
      <c r="Q72" s="14"/>
      <c r="R72" s="14"/>
      <c r="S72" s="14" t="s">
        <v>27</v>
      </c>
      <c r="T72" s="14"/>
      <c r="U72" s="14"/>
      <c r="V72" s="14"/>
      <c r="W72" s="15" t="s">
        <v>28</v>
      </c>
      <c r="X72" s="58"/>
      <c r="Y72" s="72" t="e">
        <f t="shared" si="0"/>
        <v>#VALUE!</v>
      </c>
    </row>
    <row r="73" spans="1:25" s="1" customFormat="1" ht="13.5" customHeight="1">
      <c r="A73" s="16" t="s">
        <v>29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 t="s">
        <v>30</v>
      </c>
      <c r="M73" s="16"/>
      <c r="N73" s="16" t="s">
        <v>31</v>
      </c>
      <c r="O73" s="16"/>
      <c r="P73" s="17" t="s">
        <v>32</v>
      </c>
      <c r="Q73" s="17"/>
      <c r="R73" s="17"/>
      <c r="S73" s="17" t="s">
        <v>33</v>
      </c>
      <c r="T73" s="17"/>
      <c r="U73" s="17"/>
      <c r="V73" s="17"/>
      <c r="W73" s="18" t="s">
        <v>34</v>
      </c>
      <c r="X73" s="59"/>
      <c r="Y73" s="72">
        <f t="shared" si="0"/>
        <v>125</v>
      </c>
    </row>
    <row r="74" spans="1:25" s="1" customFormat="1" ht="13.5" customHeight="1">
      <c r="A74" s="19" t="s">
        <v>154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20" t="s">
        <v>155</v>
      </c>
      <c r="M74" s="20"/>
      <c r="N74" s="20" t="s">
        <v>37</v>
      </c>
      <c r="O74" s="20"/>
      <c r="P74" s="21">
        <f>21167785.04</f>
        <v>21167785.04</v>
      </c>
      <c r="Q74" s="21"/>
      <c r="R74" s="21"/>
      <c r="S74" s="21">
        <f>9304804.04</f>
        <v>9304804.04</v>
      </c>
      <c r="T74" s="21"/>
      <c r="U74" s="21"/>
      <c r="V74" s="21"/>
      <c r="W74" s="22">
        <f>11862981</f>
        <v>11862981</v>
      </c>
      <c r="X74" s="60"/>
      <c r="Y74" s="72">
        <f t="shared" si="0"/>
        <v>43.95738157023537</v>
      </c>
    </row>
    <row r="75" spans="1:25" s="1" customFormat="1" ht="24" customHeight="1">
      <c r="A75" s="29" t="s">
        <v>156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30" t="s">
        <v>155</v>
      </c>
      <c r="M75" s="30"/>
      <c r="N75" s="30" t="s">
        <v>157</v>
      </c>
      <c r="O75" s="30"/>
      <c r="P75" s="31">
        <f>704000</f>
        <v>704000</v>
      </c>
      <c r="Q75" s="31"/>
      <c r="R75" s="31"/>
      <c r="S75" s="31">
        <f>371867.7</f>
        <v>371867.7</v>
      </c>
      <c r="T75" s="31"/>
      <c r="U75" s="31"/>
      <c r="V75" s="31"/>
      <c r="W75" s="32">
        <f>332132.3</f>
        <v>332132.3</v>
      </c>
      <c r="X75" s="62"/>
      <c r="Y75" s="72">
        <f t="shared" si="0"/>
        <v>52.82211647727273</v>
      </c>
    </row>
    <row r="76" spans="1:25" s="1" customFormat="1" ht="33.75" customHeight="1">
      <c r="A76" s="29" t="s">
        <v>158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30" t="s">
        <v>155</v>
      </c>
      <c r="M76" s="30"/>
      <c r="N76" s="30" t="s">
        <v>159</v>
      </c>
      <c r="O76" s="30"/>
      <c r="P76" s="31">
        <f>704000</f>
        <v>704000</v>
      </c>
      <c r="Q76" s="31"/>
      <c r="R76" s="31"/>
      <c r="S76" s="31">
        <f>371867.7</f>
        <v>371867.7</v>
      </c>
      <c r="T76" s="31"/>
      <c r="U76" s="31"/>
      <c r="V76" s="31"/>
      <c r="W76" s="32">
        <f>332132.3</f>
        <v>332132.3</v>
      </c>
      <c r="X76" s="62"/>
      <c r="Y76" s="72">
        <f t="shared" si="0"/>
        <v>52.82211647727273</v>
      </c>
    </row>
    <row r="77" spans="1:25" s="1" customFormat="1" ht="13.5" customHeight="1">
      <c r="A77" s="29" t="s">
        <v>160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30" t="s">
        <v>155</v>
      </c>
      <c r="M77" s="30"/>
      <c r="N77" s="30" t="s">
        <v>161</v>
      </c>
      <c r="O77" s="30"/>
      <c r="P77" s="31">
        <f>540000</f>
        <v>540000</v>
      </c>
      <c r="Q77" s="31"/>
      <c r="R77" s="31"/>
      <c r="S77" s="31">
        <f>296622.83</f>
        <v>296622.83</v>
      </c>
      <c r="T77" s="31"/>
      <c r="U77" s="31"/>
      <c r="V77" s="31"/>
      <c r="W77" s="32">
        <f>243377.17</f>
        <v>243377.17</v>
      </c>
      <c r="X77" s="62"/>
      <c r="Y77" s="72">
        <f aca="true" t="shared" si="2" ref="Y77:Y140">S77/P77*100</f>
        <v>54.93015370370371</v>
      </c>
    </row>
    <row r="78" spans="1:25" s="1" customFormat="1" ht="33.75" customHeight="1">
      <c r="A78" s="29" t="s">
        <v>162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30" t="s">
        <v>155</v>
      </c>
      <c r="M78" s="30"/>
      <c r="N78" s="30" t="s">
        <v>163</v>
      </c>
      <c r="O78" s="30"/>
      <c r="P78" s="31">
        <f>164000</f>
        <v>164000</v>
      </c>
      <c r="Q78" s="31"/>
      <c r="R78" s="31"/>
      <c r="S78" s="31">
        <f>75244.87</f>
        <v>75244.87</v>
      </c>
      <c r="T78" s="31"/>
      <c r="U78" s="31"/>
      <c r="V78" s="31"/>
      <c r="W78" s="32">
        <f>88755.13</f>
        <v>88755.13</v>
      </c>
      <c r="X78" s="62"/>
      <c r="Y78" s="72">
        <f t="shared" si="2"/>
        <v>45.881018292682924</v>
      </c>
    </row>
    <row r="79" spans="1:25" s="1" customFormat="1" ht="33.75" customHeight="1">
      <c r="A79" s="29" t="s">
        <v>164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30" t="s">
        <v>155</v>
      </c>
      <c r="M79" s="30"/>
      <c r="N79" s="30" t="s">
        <v>165</v>
      </c>
      <c r="O79" s="30"/>
      <c r="P79" s="31">
        <f>4059530</f>
        <v>4059530</v>
      </c>
      <c r="Q79" s="31"/>
      <c r="R79" s="31"/>
      <c r="S79" s="31">
        <f>1975495.42</f>
        <v>1975495.42</v>
      </c>
      <c r="T79" s="31"/>
      <c r="U79" s="31"/>
      <c r="V79" s="31"/>
      <c r="W79" s="32">
        <f>2084034.58</f>
        <v>2084034.58</v>
      </c>
      <c r="X79" s="62"/>
      <c r="Y79" s="72">
        <f t="shared" si="2"/>
        <v>48.663156079644686</v>
      </c>
    </row>
    <row r="80" spans="1:25" s="1" customFormat="1" ht="33.75" customHeight="1">
      <c r="A80" s="29" t="s">
        <v>158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30" t="s">
        <v>155</v>
      </c>
      <c r="M80" s="30"/>
      <c r="N80" s="30" t="s">
        <v>166</v>
      </c>
      <c r="O80" s="30"/>
      <c r="P80" s="31">
        <f>3909600</f>
        <v>3909600</v>
      </c>
      <c r="Q80" s="31"/>
      <c r="R80" s="31"/>
      <c r="S80" s="31">
        <f>1946380.42</f>
        <v>1946380.42</v>
      </c>
      <c r="T80" s="31"/>
      <c r="U80" s="31"/>
      <c r="V80" s="31"/>
      <c r="W80" s="32">
        <f>1963219.58</f>
        <v>1963219.58</v>
      </c>
      <c r="X80" s="62"/>
      <c r="Y80" s="72">
        <f t="shared" si="2"/>
        <v>49.784643441784326</v>
      </c>
    </row>
    <row r="81" spans="1:25" s="1" customFormat="1" ht="13.5" customHeight="1">
      <c r="A81" s="29" t="s">
        <v>160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30" t="s">
        <v>155</v>
      </c>
      <c r="M81" s="30"/>
      <c r="N81" s="30" t="s">
        <v>167</v>
      </c>
      <c r="O81" s="30"/>
      <c r="P81" s="31">
        <f>3019100</f>
        <v>3019100</v>
      </c>
      <c r="Q81" s="31"/>
      <c r="R81" s="31"/>
      <c r="S81" s="31">
        <f>1479294.6</f>
        <v>1479294.6</v>
      </c>
      <c r="T81" s="31"/>
      <c r="U81" s="31"/>
      <c r="V81" s="31"/>
      <c r="W81" s="32">
        <f>1539805.4</f>
        <v>1539805.4</v>
      </c>
      <c r="X81" s="62"/>
      <c r="Y81" s="72">
        <f t="shared" si="2"/>
        <v>48.99786691398099</v>
      </c>
    </row>
    <row r="82" spans="1:25" s="1" customFormat="1" ht="24" customHeight="1">
      <c r="A82" s="29" t="s">
        <v>168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30" t="s">
        <v>155</v>
      </c>
      <c r="M82" s="30"/>
      <c r="N82" s="30" t="s">
        <v>169</v>
      </c>
      <c r="O82" s="30"/>
      <c r="P82" s="31">
        <f>5000</f>
        <v>5000</v>
      </c>
      <c r="Q82" s="31"/>
      <c r="R82" s="31"/>
      <c r="S82" s="33" t="s">
        <v>48</v>
      </c>
      <c r="T82" s="33"/>
      <c r="U82" s="33"/>
      <c r="V82" s="33"/>
      <c r="W82" s="32">
        <f>5000</f>
        <v>5000</v>
      </c>
      <c r="X82" s="62"/>
      <c r="Y82" s="72" t="e">
        <f t="shared" si="2"/>
        <v>#VALUE!</v>
      </c>
    </row>
    <row r="83" spans="1:25" s="1" customFormat="1" ht="33.75" customHeight="1">
      <c r="A83" s="29" t="s">
        <v>162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30" t="s">
        <v>155</v>
      </c>
      <c r="M83" s="30"/>
      <c r="N83" s="30" t="s">
        <v>170</v>
      </c>
      <c r="O83" s="30"/>
      <c r="P83" s="31">
        <f>885500</f>
        <v>885500</v>
      </c>
      <c r="Q83" s="31"/>
      <c r="R83" s="31"/>
      <c r="S83" s="31">
        <f>467085.82</f>
        <v>467085.82</v>
      </c>
      <c r="T83" s="31"/>
      <c r="U83" s="31"/>
      <c r="V83" s="31"/>
      <c r="W83" s="32">
        <f>418414.18</f>
        <v>418414.18</v>
      </c>
      <c r="X83" s="62"/>
      <c r="Y83" s="72">
        <f t="shared" si="2"/>
        <v>52.748257481648785</v>
      </c>
    </row>
    <row r="84" spans="1:25" s="1" customFormat="1" ht="24" customHeight="1">
      <c r="A84" s="29" t="s">
        <v>171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30" t="s">
        <v>155</v>
      </c>
      <c r="M84" s="30"/>
      <c r="N84" s="30" t="s">
        <v>172</v>
      </c>
      <c r="O84" s="30"/>
      <c r="P84" s="31">
        <f>118930</f>
        <v>118930</v>
      </c>
      <c r="Q84" s="31"/>
      <c r="R84" s="31"/>
      <c r="S84" s="31">
        <f>20081.64</f>
        <v>20081.64</v>
      </c>
      <c r="T84" s="31"/>
      <c r="U84" s="31"/>
      <c r="V84" s="31"/>
      <c r="W84" s="32">
        <f>98848.36</f>
        <v>98848.36</v>
      </c>
      <c r="X84" s="62"/>
      <c r="Y84" s="72">
        <f t="shared" si="2"/>
        <v>16.88526023711427</v>
      </c>
    </row>
    <row r="85" spans="1:25" s="1" customFormat="1" ht="24" customHeight="1">
      <c r="A85" s="29" t="s">
        <v>173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30" t="s">
        <v>155</v>
      </c>
      <c r="M85" s="30"/>
      <c r="N85" s="30" t="s">
        <v>174</v>
      </c>
      <c r="O85" s="30"/>
      <c r="P85" s="31">
        <f>115130</f>
        <v>115130</v>
      </c>
      <c r="Q85" s="31"/>
      <c r="R85" s="31"/>
      <c r="S85" s="31">
        <f>20081.64</f>
        <v>20081.64</v>
      </c>
      <c r="T85" s="31"/>
      <c r="U85" s="31"/>
      <c r="V85" s="31"/>
      <c r="W85" s="32">
        <f>95048.36</f>
        <v>95048.36</v>
      </c>
      <c r="X85" s="62"/>
      <c r="Y85" s="72">
        <f t="shared" si="2"/>
        <v>17.442577955354814</v>
      </c>
    </row>
    <row r="86" spans="1:25" s="1" customFormat="1" ht="24" customHeight="1">
      <c r="A86" s="29" t="s">
        <v>173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30" t="s">
        <v>155</v>
      </c>
      <c r="M86" s="30"/>
      <c r="N86" s="30" t="s">
        <v>175</v>
      </c>
      <c r="O86" s="30"/>
      <c r="P86" s="31">
        <f>3800</f>
        <v>3800</v>
      </c>
      <c r="Q86" s="31"/>
      <c r="R86" s="31"/>
      <c r="S86" s="33" t="s">
        <v>48</v>
      </c>
      <c r="T86" s="33"/>
      <c r="U86" s="33"/>
      <c r="V86" s="33"/>
      <c r="W86" s="32">
        <f>3800</f>
        <v>3800</v>
      </c>
      <c r="X86" s="62"/>
      <c r="Y86" s="72" t="e">
        <f t="shared" si="2"/>
        <v>#VALUE!</v>
      </c>
    </row>
    <row r="87" spans="1:25" s="1" customFormat="1" ht="13.5" customHeight="1">
      <c r="A87" s="29" t="s">
        <v>176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30" t="s">
        <v>155</v>
      </c>
      <c r="M87" s="30"/>
      <c r="N87" s="30" t="s">
        <v>177</v>
      </c>
      <c r="O87" s="30"/>
      <c r="P87" s="31">
        <f>31000</f>
        <v>31000</v>
      </c>
      <c r="Q87" s="31"/>
      <c r="R87" s="31"/>
      <c r="S87" s="31">
        <f>9033.36</f>
        <v>9033.36</v>
      </c>
      <c r="T87" s="31"/>
      <c r="U87" s="31"/>
      <c r="V87" s="31"/>
      <c r="W87" s="32">
        <f>21966.64</f>
        <v>21966.64</v>
      </c>
      <c r="X87" s="62"/>
      <c r="Y87" s="72">
        <f t="shared" si="2"/>
        <v>29.13987096774194</v>
      </c>
    </row>
    <row r="88" spans="1:25" s="1" customFormat="1" ht="13.5" customHeight="1">
      <c r="A88" s="29" t="s">
        <v>178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30" t="s">
        <v>155</v>
      </c>
      <c r="M88" s="30"/>
      <c r="N88" s="30" t="s">
        <v>179</v>
      </c>
      <c r="O88" s="30"/>
      <c r="P88" s="31">
        <f>16000</f>
        <v>16000</v>
      </c>
      <c r="Q88" s="31"/>
      <c r="R88" s="31"/>
      <c r="S88" s="31">
        <f>4937</f>
        <v>4937</v>
      </c>
      <c r="T88" s="31"/>
      <c r="U88" s="31"/>
      <c r="V88" s="31"/>
      <c r="W88" s="32">
        <f>11063</f>
        <v>11063</v>
      </c>
      <c r="X88" s="62"/>
      <c r="Y88" s="72">
        <f t="shared" si="2"/>
        <v>30.856250000000003</v>
      </c>
    </row>
    <row r="89" spans="1:25" s="1" customFormat="1" ht="13.5" customHeight="1">
      <c r="A89" s="29" t="s">
        <v>180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30" t="s">
        <v>155</v>
      </c>
      <c r="M89" s="30"/>
      <c r="N89" s="30" t="s">
        <v>181</v>
      </c>
      <c r="O89" s="30"/>
      <c r="P89" s="31">
        <f>15000</f>
        <v>15000</v>
      </c>
      <c r="Q89" s="31"/>
      <c r="R89" s="31"/>
      <c r="S89" s="31">
        <f>4096.36</f>
        <v>4096.36</v>
      </c>
      <c r="T89" s="31"/>
      <c r="U89" s="31"/>
      <c r="V89" s="31"/>
      <c r="W89" s="32">
        <f>10903.64</f>
        <v>10903.64</v>
      </c>
      <c r="X89" s="62"/>
      <c r="Y89" s="72">
        <f t="shared" si="2"/>
        <v>27.309066666666666</v>
      </c>
    </row>
    <row r="90" spans="1:25" s="1" customFormat="1" ht="24" customHeight="1">
      <c r="A90" s="29" t="s">
        <v>182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30" t="s">
        <v>155</v>
      </c>
      <c r="M90" s="30"/>
      <c r="N90" s="30" t="s">
        <v>183</v>
      </c>
      <c r="O90" s="30"/>
      <c r="P90" s="31">
        <f>1270</f>
        <v>1270</v>
      </c>
      <c r="Q90" s="31"/>
      <c r="R90" s="31"/>
      <c r="S90" s="31">
        <f>1270</f>
        <v>1270</v>
      </c>
      <c r="T90" s="31"/>
      <c r="U90" s="31"/>
      <c r="V90" s="31"/>
      <c r="W90" s="32">
        <f>0</f>
        <v>0</v>
      </c>
      <c r="X90" s="62"/>
      <c r="Y90" s="72">
        <f t="shared" si="2"/>
        <v>100</v>
      </c>
    </row>
    <row r="91" spans="1:25" s="1" customFormat="1" ht="13.5" customHeight="1">
      <c r="A91" s="29" t="s">
        <v>184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30" t="s">
        <v>155</v>
      </c>
      <c r="M91" s="30"/>
      <c r="N91" s="30" t="s">
        <v>185</v>
      </c>
      <c r="O91" s="30"/>
      <c r="P91" s="31">
        <f>1270</f>
        <v>1270</v>
      </c>
      <c r="Q91" s="31"/>
      <c r="R91" s="31"/>
      <c r="S91" s="31">
        <f>1270</f>
        <v>1270</v>
      </c>
      <c r="T91" s="31"/>
      <c r="U91" s="31"/>
      <c r="V91" s="31"/>
      <c r="W91" s="32">
        <f>0</f>
        <v>0</v>
      </c>
      <c r="X91" s="62"/>
      <c r="Y91" s="72">
        <f t="shared" si="2"/>
        <v>100</v>
      </c>
    </row>
    <row r="92" spans="1:25" s="1" customFormat="1" ht="13.5" customHeight="1">
      <c r="A92" s="29" t="s">
        <v>186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30" t="s">
        <v>155</v>
      </c>
      <c r="M92" s="30"/>
      <c r="N92" s="30" t="s">
        <v>187</v>
      </c>
      <c r="O92" s="30"/>
      <c r="P92" s="31">
        <f>1270</f>
        <v>1270</v>
      </c>
      <c r="Q92" s="31"/>
      <c r="R92" s="31"/>
      <c r="S92" s="31">
        <f>1270</f>
        <v>1270</v>
      </c>
      <c r="T92" s="31"/>
      <c r="U92" s="31"/>
      <c r="V92" s="31"/>
      <c r="W92" s="32">
        <f>0</f>
        <v>0</v>
      </c>
      <c r="X92" s="62"/>
      <c r="Y92" s="72">
        <f t="shared" si="2"/>
        <v>100</v>
      </c>
    </row>
    <row r="93" spans="1:25" s="1" customFormat="1" ht="13.5" customHeight="1">
      <c r="A93" s="29" t="s">
        <v>188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30" t="s">
        <v>155</v>
      </c>
      <c r="M93" s="30"/>
      <c r="N93" s="30" t="s">
        <v>189</v>
      </c>
      <c r="O93" s="30"/>
      <c r="P93" s="31">
        <f>50000</f>
        <v>50000</v>
      </c>
      <c r="Q93" s="31"/>
      <c r="R93" s="31"/>
      <c r="S93" s="33" t="s">
        <v>48</v>
      </c>
      <c r="T93" s="33"/>
      <c r="U93" s="33"/>
      <c r="V93" s="33"/>
      <c r="W93" s="32">
        <f>50000</f>
        <v>50000</v>
      </c>
      <c r="X93" s="62"/>
      <c r="Y93" s="72" t="e">
        <f t="shared" si="2"/>
        <v>#VALUE!</v>
      </c>
    </row>
    <row r="94" spans="1:25" s="1" customFormat="1" ht="13.5" customHeight="1">
      <c r="A94" s="29" t="s">
        <v>176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30" t="s">
        <v>155</v>
      </c>
      <c r="M94" s="30"/>
      <c r="N94" s="30" t="s">
        <v>190</v>
      </c>
      <c r="O94" s="30"/>
      <c r="P94" s="31">
        <f>50000</f>
        <v>50000</v>
      </c>
      <c r="Q94" s="31"/>
      <c r="R94" s="31"/>
      <c r="S94" s="33" t="s">
        <v>48</v>
      </c>
      <c r="T94" s="33"/>
      <c r="U94" s="33"/>
      <c r="V94" s="33"/>
      <c r="W94" s="32">
        <f>50000</f>
        <v>50000</v>
      </c>
      <c r="X94" s="62"/>
      <c r="Y94" s="72" t="e">
        <f t="shared" si="2"/>
        <v>#VALUE!</v>
      </c>
    </row>
    <row r="95" spans="1:25" s="1" customFormat="1" ht="13.5" customHeight="1">
      <c r="A95" s="29" t="s">
        <v>191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30" t="s">
        <v>155</v>
      </c>
      <c r="M95" s="30"/>
      <c r="N95" s="30" t="s">
        <v>192</v>
      </c>
      <c r="O95" s="30"/>
      <c r="P95" s="31">
        <f>50000</f>
        <v>50000</v>
      </c>
      <c r="Q95" s="31"/>
      <c r="R95" s="31"/>
      <c r="S95" s="33" t="s">
        <v>48</v>
      </c>
      <c r="T95" s="33"/>
      <c r="U95" s="33"/>
      <c r="V95" s="33"/>
      <c r="W95" s="32">
        <f>50000</f>
        <v>50000</v>
      </c>
      <c r="X95" s="62"/>
      <c r="Y95" s="72" t="e">
        <f t="shared" si="2"/>
        <v>#VALUE!</v>
      </c>
    </row>
    <row r="96" spans="1:25" s="1" customFormat="1" ht="13.5" customHeight="1">
      <c r="A96" s="29" t="s">
        <v>193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30" t="s">
        <v>155</v>
      </c>
      <c r="M96" s="30"/>
      <c r="N96" s="30" t="s">
        <v>194</v>
      </c>
      <c r="O96" s="30"/>
      <c r="P96" s="31">
        <f>796302.46</f>
        <v>796302.46</v>
      </c>
      <c r="Q96" s="31"/>
      <c r="R96" s="31"/>
      <c r="S96" s="31">
        <f>283212.81</f>
        <v>283212.81</v>
      </c>
      <c r="T96" s="31"/>
      <c r="U96" s="31"/>
      <c r="V96" s="31"/>
      <c r="W96" s="32">
        <f>513089.65</f>
        <v>513089.65</v>
      </c>
      <c r="X96" s="62"/>
      <c r="Y96" s="72">
        <f t="shared" si="2"/>
        <v>35.56598456320228</v>
      </c>
    </row>
    <row r="97" spans="1:25" s="1" customFormat="1" ht="33.75" customHeight="1">
      <c r="A97" s="29" t="s">
        <v>158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30" t="s">
        <v>155</v>
      </c>
      <c r="M97" s="30"/>
      <c r="N97" s="30" t="s">
        <v>195</v>
      </c>
      <c r="O97" s="30"/>
      <c r="P97" s="31">
        <f>10000</f>
        <v>10000</v>
      </c>
      <c r="Q97" s="31"/>
      <c r="R97" s="31"/>
      <c r="S97" s="31">
        <f>4354.5</f>
        <v>4354.5</v>
      </c>
      <c r="T97" s="31"/>
      <c r="U97" s="31"/>
      <c r="V97" s="31"/>
      <c r="W97" s="32">
        <f>5645.5</f>
        <v>5645.5</v>
      </c>
      <c r="X97" s="62"/>
      <c r="Y97" s="72">
        <f t="shared" si="2"/>
        <v>43.545</v>
      </c>
    </row>
    <row r="98" spans="1:25" s="1" customFormat="1" ht="24" customHeight="1">
      <c r="A98" s="29" t="s">
        <v>168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30" t="s">
        <v>155</v>
      </c>
      <c r="M98" s="30"/>
      <c r="N98" s="30" t="s">
        <v>196</v>
      </c>
      <c r="O98" s="30"/>
      <c r="P98" s="31">
        <f>10000</f>
        <v>10000</v>
      </c>
      <c r="Q98" s="31"/>
      <c r="R98" s="31"/>
      <c r="S98" s="31">
        <f>4354.5</f>
        <v>4354.5</v>
      </c>
      <c r="T98" s="31"/>
      <c r="U98" s="31"/>
      <c r="V98" s="31"/>
      <c r="W98" s="32">
        <f>5645.5</f>
        <v>5645.5</v>
      </c>
      <c r="X98" s="62"/>
      <c r="Y98" s="72">
        <f t="shared" si="2"/>
        <v>43.545</v>
      </c>
    </row>
    <row r="99" spans="1:25" s="1" customFormat="1" ht="24" customHeight="1">
      <c r="A99" s="29" t="s">
        <v>171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30" t="s">
        <v>155</v>
      </c>
      <c r="M99" s="30"/>
      <c r="N99" s="30" t="s">
        <v>197</v>
      </c>
      <c r="O99" s="30"/>
      <c r="P99" s="31">
        <f>761382.21</f>
        <v>761382.21</v>
      </c>
      <c r="Q99" s="31"/>
      <c r="R99" s="31"/>
      <c r="S99" s="31">
        <f>274938.06</f>
        <v>274938.06</v>
      </c>
      <c r="T99" s="31"/>
      <c r="U99" s="31"/>
      <c r="V99" s="31"/>
      <c r="W99" s="32">
        <f>486444.15</f>
        <v>486444.15</v>
      </c>
      <c r="X99" s="62"/>
      <c r="Y99" s="72">
        <f t="shared" si="2"/>
        <v>36.11038666112254</v>
      </c>
    </row>
    <row r="100" spans="1:25" s="1" customFormat="1" ht="24" customHeight="1">
      <c r="A100" s="29" t="s">
        <v>173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30" t="s">
        <v>155</v>
      </c>
      <c r="M100" s="30"/>
      <c r="N100" s="30" t="s">
        <v>198</v>
      </c>
      <c r="O100" s="30"/>
      <c r="P100" s="31">
        <f>20000</f>
        <v>20000</v>
      </c>
      <c r="Q100" s="31"/>
      <c r="R100" s="31"/>
      <c r="S100" s="31">
        <f>8000</f>
        <v>8000</v>
      </c>
      <c r="T100" s="31"/>
      <c r="U100" s="31"/>
      <c r="V100" s="31"/>
      <c r="W100" s="32">
        <f>12000</f>
        <v>12000</v>
      </c>
      <c r="X100" s="62"/>
      <c r="Y100" s="72">
        <f t="shared" si="2"/>
        <v>40</v>
      </c>
    </row>
    <row r="101" spans="1:25" s="1" customFormat="1" ht="24" customHeight="1">
      <c r="A101" s="29" t="s">
        <v>173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30" t="s">
        <v>155</v>
      </c>
      <c r="M101" s="30"/>
      <c r="N101" s="30" t="s">
        <v>199</v>
      </c>
      <c r="O101" s="30"/>
      <c r="P101" s="31">
        <f>5000</f>
        <v>5000</v>
      </c>
      <c r="Q101" s="31"/>
      <c r="R101" s="31"/>
      <c r="S101" s="33" t="s">
        <v>48</v>
      </c>
      <c r="T101" s="33"/>
      <c r="U101" s="33"/>
      <c r="V101" s="33"/>
      <c r="W101" s="32">
        <f>5000</f>
        <v>5000</v>
      </c>
      <c r="X101" s="62"/>
      <c r="Y101" s="72" t="e">
        <f t="shared" si="2"/>
        <v>#VALUE!</v>
      </c>
    </row>
    <row r="102" spans="1:25" s="1" customFormat="1" ht="24" customHeight="1">
      <c r="A102" s="29" t="s">
        <v>173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30" t="s">
        <v>155</v>
      </c>
      <c r="M102" s="30"/>
      <c r="N102" s="30" t="s">
        <v>200</v>
      </c>
      <c r="O102" s="30"/>
      <c r="P102" s="31">
        <f>560000</f>
        <v>560000</v>
      </c>
      <c r="Q102" s="31"/>
      <c r="R102" s="31"/>
      <c r="S102" s="31">
        <f>195366.97</f>
        <v>195366.97</v>
      </c>
      <c r="T102" s="31"/>
      <c r="U102" s="31"/>
      <c r="V102" s="31"/>
      <c r="W102" s="32">
        <f>364633.03</f>
        <v>364633.03</v>
      </c>
      <c r="X102" s="62"/>
      <c r="Y102" s="72">
        <f t="shared" si="2"/>
        <v>34.886958928571424</v>
      </c>
    </row>
    <row r="103" spans="1:25" s="1" customFormat="1" ht="24" customHeight="1">
      <c r="A103" s="29" t="s">
        <v>173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30" t="s">
        <v>155</v>
      </c>
      <c r="M103" s="30"/>
      <c r="N103" s="30" t="s">
        <v>201</v>
      </c>
      <c r="O103" s="30"/>
      <c r="P103" s="31">
        <f>176382.21</f>
        <v>176382.21</v>
      </c>
      <c r="Q103" s="31"/>
      <c r="R103" s="31"/>
      <c r="S103" s="31">
        <f>71571.09</f>
        <v>71571.09</v>
      </c>
      <c r="T103" s="31"/>
      <c r="U103" s="31"/>
      <c r="V103" s="31"/>
      <c r="W103" s="32">
        <f>104811.12</f>
        <v>104811.12</v>
      </c>
      <c r="X103" s="62"/>
      <c r="Y103" s="72">
        <f t="shared" si="2"/>
        <v>40.57727250384265</v>
      </c>
    </row>
    <row r="104" spans="1:25" s="1" customFormat="1" ht="13.5" customHeight="1">
      <c r="A104" s="29" t="s">
        <v>176</v>
      </c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30" t="s">
        <v>155</v>
      </c>
      <c r="M104" s="30"/>
      <c r="N104" s="30" t="s">
        <v>202</v>
      </c>
      <c r="O104" s="30"/>
      <c r="P104" s="31">
        <f>24920.25</f>
        <v>24920.25</v>
      </c>
      <c r="Q104" s="31"/>
      <c r="R104" s="31"/>
      <c r="S104" s="31">
        <f>3920.25</f>
        <v>3920.25</v>
      </c>
      <c r="T104" s="31"/>
      <c r="U104" s="31"/>
      <c r="V104" s="31"/>
      <c r="W104" s="32">
        <f>21000</f>
        <v>21000</v>
      </c>
      <c r="X104" s="62"/>
      <c r="Y104" s="72">
        <f t="shared" si="2"/>
        <v>15.731182472085955</v>
      </c>
    </row>
    <row r="105" spans="1:25" s="1" customFormat="1" ht="45" customHeight="1">
      <c r="A105" s="29" t="s">
        <v>203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30" t="s">
        <v>155</v>
      </c>
      <c r="M105" s="30"/>
      <c r="N105" s="30" t="s">
        <v>204</v>
      </c>
      <c r="O105" s="30"/>
      <c r="P105" s="31">
        <f>21000</f>
        <v>21000</v>
      </c>
      <c r="Q105" s="31"/>
      <c r="R105" s="31"/>
      <c r="S105" s="33" t="s">
        <v>48</v>
      </c>
      <c r="T105" s="33"/>
      <c r="U105" s="33"/>
      <c r="V105" s="33"/>
      <c r="W105" s="32">
        <f>21000</f>
        <v>21000</v>
      </c>
      <c r="X105" s="62"/>
      <c r="Y105" s="72" t="e">
        <f t="shared" si="2"/>
        <v>#VALUE!</v>
      </c>
    </row>
    <row r="106" spans="1:25" s="1" customFormat="1" ht="13.5" customHeight="1">
      <c r="A106" s="29" t="s">
        <v>205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30" t="s">
        <v>155</v>
      </c>
      <c r="M106" s="30"/>
      <c r="N106" s="30" t="s">
        <v>206</v>
      </c>
      <c r="O106" s="30"/>
      <c r="P106" s="31">
        <f>3920.25</f>
        <v>3920.25</v>
      </c>
      <c r="Q106" s="31"/>
      <c r="R106" s="31"/>
      <c r="S106" s="31">
        <f>3920.25</f>
        <v>3920.25</v>
      </c>
      <c r="T106" s="31"/>
      <c r="U106" s="31"/>
      <c r="V106" s="31"/>
      <c r="W106" s="32">
        <f>0</f>
        <v>0</v>
      </c>
      <c r="X106" s="62"/>
      <c r="Y106" s="72">
        <f t="shared" si="2"/>
        <v>100</v>
      </c>
    </row>
    <row r="107" spans="1:25" s="1" customFormat="1" ht="13.5" customHeight="1">
      <c r="A107" s="29" t="s">
        <v>207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30" t="s">
        <v>155</v>
      </c>
      <c r="M107" s="30"/>
      <c r="N107" s="30" t="s">
        <v>208</v>
      </c>
      <c r="O107" s="30"/>
      <c r="P107" s="31">
        <f>190400</f>
        <v>190400</v>
      </c>
      <c r="Q107" s="31"/>
      <c r="R107" s="31"/>
      <c r="S107" s="31">
        <f>78677.67</f>
        <v>78677.67</v>
      </c>
      <c r="T107" s="31"/>
      <c r="U107" s="31"/>
      <c r="V107" s="31"/>
      <c r="W107" s="32">
        <f>111722.33</f>
        <v>111722.33</v>
      </c>
      <c r="X107" s="62"/>
      <c r="Y107" s="72">
        <f t="shared" si="2"/>
        <v>41.322305672268904</v>
      </c>
    </row>
    <row r="108" spans="1:25" s="1" customFormat="1" ht="33.75" customHeight="1">
      <c r="A108" s="29" t="s">
        <v>158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30" t="s">
        <v>155</v>
      </c>
      <c r="M108" s="30"/>
      <c r="N108" s="30" t="s">
        <v>209</v>
      </c>
      <c r="O108" s="30"/>
      <c r="P108" s="31">
        <f>186126.79</f>
        <v>186126.79</v>
      </c>
      <c r="Q108" s="31"/>
      <c r="R108" s="31"/>
      <c r="S108" s="31">
        <f>78677.67</f>
        <v>78677.67</v>
      </c>
      <c r="T108" s="31"/>
      <c r="U108" s="31"/>
      <c r="V108" s="31"/>
      <c r="W108" s="32">
        <f>107449.12</f>
        <v>107449.12</v>
      </c>
      <c r="X108" s="62"/>
      <c r="Y108" s="72">
        <f t="shared" si="2"/>
        <v>42.27100784363175</v>
      </c>
    </row>
    <row r="109" spans="1:25" s="1" customFormat="1" ht="13.5" customHeight="1">
      <c r="A109" s="29" t="s">
        <v>160</v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30" t="s">
        <v>155</v>
      </c>
      <c r="M109" s="30"/>
      <c r="N109" s="30" t="s">
        <v>210</v>
      </c>
      <c r="O109" s="30"/>
      <c r="P109" s="31">
        <f>142954.52</f>
        <v>142954.52</v>
      </c>
      <c r="Q109" s="31"/>
      <c r="R109" s="31"/>
      <c r="S109" s="31">
        <f>61859.76</f>
        <v>61859.76</v>
      </c>
      <c r="T109" s="31"/>
      <c r="U109" s="31"/>
      <c r="V109" s="31"/>
      <c r="W109" s="32">
        <f>81094.76</f>
        <v>81094.76</v>
      </c>
      <c r="X109" s="62"/>
      <c r="Y109" s="72">
        <f t="shared" si="2"/>
        <v>43.27233584499462</v>
      </c>
    </row>
    <row r="110" spans="1:25" s="1" customFormat="1" ht="33.75" customHeight="1">
      <c r="A110" s="29" t="s">
        <v>162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30" t="s">
        <v>155</v>
      </c>
      <c r="M110" s="30"/>
      <c r="N110" s="30" t="s">
        <v>211</v>
      </c>
      <c r="O110" s="30"/>
      <c r="P110" s="31">
        <f>43172.27</f>
        <v>43172.27</v>
      </c>
      <c r="Q110" s="31"/>
      <c r="R110" s="31"/>
      <c r="S110" s="31">
        <f>16817.91</f>
        <v>16817.91</v>
      </c>
      <c r="T110" s="31"/>
      <c r="U110" s="31"/>
      <c r="V110" s="31"/>
      <c r="W110" s="32">
        <f>26354.36</f>
        <v>26354.36</v>
      </c>
      <c r="X110" s="62"/>
      <c r="Y110" s="72">
        <f t="shared" si="2"/>
        <v>38.95535259091079</v>
      </c>
    </row>
    <row r="111" spans="1:25" s="1" customFormat="1" ht="24" customHeight="1">
      <c r="A111" s="29" t="s">
        <v>171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30" t="s">
        <v>155</v>
      </c>
      <c r="M111" s="30"/>
      <c r="N111" s="30" t="s">
        <v>212</v>
      </c>
      <c r="O111" s="30"/>
      <c r="P111" s="31">
        <f>4273.21</f>
        <v>4273.21</v>
      </c>
      <c r="Q111" s="31"/>
      <c r="R111" s="31"/>
      <c r="S111" s="33" t="s">
        <v>48</v>
      </c>
      <c r="T111" s="33"/>
      <c r="U111" s="33"/>
      <c r="V111" s="33"/>
      <c r="W111" s="32">
        <f>4273.21</f>
        <v>4273.21</v>
      </c>
      <c r="X111" s="62"/>
      <c r="Y111" s="72" t="e">
        <f t="shared" si="2"/>
        <v>#VALUE!</v>
      </c>
    </row>
    <row r="112" spans="1:25" s="1" customFormat="1" ht="24" customHeight="1">
      <c r="A112" s="29" t="s">
        <v>173</v>
      </c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30" t="s">
        <v>155</v>
      </c>
      <c r="M112" s="30"/>
      <c r="N112" s="30" t="s">
        <v>213</v>
      </c>
      <c r="O112" s="30"/>
      <c r="P112" s="31">
        <f>4273.21</f>
        <v>4273.21</v>
      </c>
      <c r="Q112" s="31"/>
      <c r="R112" s="31"/>
      <c r="S112" s="33" t="s">
        <v>48</v>
      </c>
      <c r="T112" s="33"/>
      <c r="U112" s="33"/>
      <c r="V112" s="33"/>
      <c r="W112" s="32">
        <f>4273.21</f>
        <v>4273.21</v>
      </c>
      <c r="X112" s="62"/>
      <c r="Y112" s="72" t="e">
        <f t="shared" si="2"/>
        <v>#VALUE!</v>
      </c>
    </row>
    <row r="113" spans="1:25" s="1" customFormat="1" ht="13.5" customHeight="1">
      <c r="A113" s="29" t="s">
        <v>214</v>
      </c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30" t="s">
        <v>155</v>
      </c>
      <c r="M113" s="30"/>
      <c r="N113" s="30" t="s">
        <v>215</v>
      </c>
      <c r="O113" s="30"/>
      <c r="P113" s="31">
        <f>20000</f>
        <v>20000</v>
      </c>
      <c r="Q113" s="31"/>
      <c r="R113" s="31"/>
      <c r="S113" s="33" t="s">
        <v>48</v>
      </c>
      <c r="T113" s="33"/>
      <c r="U113" s="33"/>
      <c r="V113" s="33"/>
      <c r="W113" s="32">
        <f>20000</f>
        <v>20000</v>
      </c>
      <c r="X113" s="62"/>
      <c r="Y113" s="72" t="e">
        <f t="shared" si="2"/>
        <v>#VALUE!</v>
      </c>
    </row>
    <row r="114" spans="1:25" s="1" customFormat="1" ht="24" customHeight="1">
      <c r="A114" s="29" t="s">
        <v>171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30" t="s">
        <v>155</v>
      </c>
      <c r="M114" s="30"/>
      <c r="N114" s="30" t="s">
        <v>216</v>
      </c>
      <c r="O114" s="30"/>
      <c r="P114" s="31">
        <f>20000</f>
        <v>20000</v>
      </c>
      <c r="Q114" s="31"/>
      <c r="R114" s="31"/>
      <c r="S114" s="33" t="s">
        <v>48</v>
      </c>
      <c r="T114" s="33"/>
      <c r="U114" s="33"/>
      <c r="V114" s="33"/>
      <c r="W114" s="32">
        <f>20000</f>
        <v>20000</v>
      </c>
      <c r="X114" s="62"/>
      <c r="Y114" s="72" t="e">
        <f t="shared" si="2"/>
        <v>#VALUE!</v>
      </c>
    </row>
    <row r="115" spans="1:25" s="1" customFormat="1" ht="24" customHeight="1">
      <c r="A115" s="29" t="s">
        <v>173</v>
      </c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30" t="s">
        <v>155</v>
      </c>
      <c r="M115" s="30"/>
      <c r="N115" s="30" t="s">
        <v>217</v>
      </c>
      <c r="O115" s="30"/>
      <c r="P115" s="31">
        <f>20000</f>
        <v>20000</v>
      </c>
      <c r="Q115" s="31"/>
      <c r="R115" s="31"/>
      <c r="S115" s="33" t="s">
        <v>48</v>
      </c>
      <c r="T115" s="33"/>
      <c r="U115" s="33"/>
      <c r="V115" s="33"/>
      <c r="W115" s="32">
        <f>20000</f>
        <v>20000</v>
      </c>
      <c r="X115" s="62"/>
      <c r="Y115" s="72" t="e">
        <f t="shared" si="2"/>
        <v>#VALUE!</v>
      </c>
    </row>
    <row r="116" spans="1:25" s="1" customFormat="1" ht="13.5" customHeight="1">
      <c r="A116" s="29" t="s">
        <v>218</v>
      </c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30" t="s">
        <v>155</v>
      </c>
      <c r="M116" s="30"/>
      <c r="N116" s="30" t="s">
        <v>219</v>
      </c>
      <c r="O116" s="30"/>
      <c r="P116" s="31">
        <f>1566772.47</f>
        <v>1566772.47</v>
      </c>
      <c r="Q116" s="31"/>
      <c r="R116" s="31"/>
      <c r="S116" s="31">
        <f>108455.45</f>
        <v>108455.45</v>
      </c>
      <c r="T116" s="31"/>
      <c r="U116" s="31"/>
      <c r="V116" s="31"/>
      <c r="W116" s="32">
        <f>1458317.02</f>
        <v>1458317.02</v>
      </c>
      <c r="X116" s="62"/>
      <c r="Y116" s="72">
        <f t="shared" si="2"/>
        <v>6.9222208123174385</v>
      </c>
    </row>
    <row r="117" spans="1:25" s="1" customFormat="1" ht="24" customHeight="1">
      <c r="A117" s="29" t="s">
        <v>171</v>
      </c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30" t="s">
        <v>155</v>
      </c>
      <c r="M117" s="30"/>
      <c r="N117" s="30" t="s">
        <v>220</v>
      </c>
      <c r="O117" s="30"/>
      <c r="P117" s="31">
        <f>1566772.47</f>
        <v>1566772.47</v>
      </c>
      <c r="Q117" s="31"/>
      <c r="R117" s="31"/>
      <c r="S117" s="31">
        <f>108455.45</f>
        <v>108455.45</v>
      </c>
      <c r="T117" s="31"/>
      <c r="U117" s="31"/>
      <c r="V117" s="31"/>
      <c r="W117" s="32">
        <f>1458317.02</f>
        <v>1458317.02</v>
      </c>
      <c r="X117" s="62"/>
      <c r="Y117" s="72">
        <f t="shared" si="2"/>
        <v>6.9222208123174385</v>
      </c>
    </row>
    <row r="118" spans="1:25" s="1" customFormat="1" ht="24" customHeight="1">
      <c r="A118" s="29" t="s">
        <v>173</v>
      </c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30" t="s">
        <v>155</v>
      </c>
      <c r="M118" s="30"/>
      <c r="N118" s="30" t="s">
        <v>221</v>
      </c>
      <c r="O118" s="30"/>
      <c r="P118" s="31">
        <f>50000</f>
        <v>50000</v>
      </c>
      <c r="Q118" s="31"/>
      <c r="R118" s="31"/>
      <c r="S118" s="33" t="s">
        <v>48</v>
      </c>
      <c r="T118" s="33"/>
      <c r="U118" s="33"/>
      <c r="V118" s="33"/>
      <c r="W118" s="32">
        <f>50000</f>
        <v>50000</v>
      </c>
      <c r="X118" s="62"/>
      <c r="Y118" s="72" t="e">
        <f t="shared" si="2"/>
        <v>#VALUE!</v>
      </c>
    </row>
    <row r="119" spans="1:25" s="1" customFormat="1" ht="24" customHeight="1">
      <c r="A119" s="29" t="s">
        <v>173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30" t="s">
        <v>155</v>
      </c>
      <c r="M119" s="30"/>
      <c r="N119" s="30" t="s">
        <v>222</v>
      </c>
      <c r="O119" s="30"/>
      <c r="P119" s="31">
        <f>336300.95</f>
        <v>336300.95</v>
      </c>
      <c r="Q119" s="31"/>
      <c r="R119" s="31"/>
      <c r="S119" s="31">
        <f>98667.45</f>
        <v>98667.45</v>
      </c>
      <c r="T119" s="31"/>
      <c r="U119" s="31"/>
      <c r="V119" s="31"/>
      <c r="W119" s="32">
        <f>237633.5</f>
        <v>237633.5</v>
      </c>
      <c r="X119" s="62"/>
      <c r="Y119" s="72">
        <f t="shared" si="2"/>
        <v>29.339033981319407</v>
      </c>
    </row>
    <row r="120" spans="1:25" s="1" customFormat="1" ht="24" customHeight="1">
      <c r="A120" s="29" t="s">
        <v>173</v>
      </c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30" t="s">
        <v>155</v>
      </c>
      <c r="M120" s="30"/>
      <c r="N120" s="30" t="s">
        <v>223</v>
      </c>
      <c r="O120" s="30"/>
      <c r="P120" s="31">
        <f>1180471.52</f>
        <v>1180471.52</v>
      </c>
      <c r="Q120" s="31"/>
      <c r="R120" s="31"/>
      <c r="S120" s="31">
        <f>9788</f>
        <v>9788</v>
      </c>
      <c r="T120" s="31"/>
      <c r="U120" s="31"/>
      <c r="V120" s="31"/>
      <c r="W120" s="32">
        <f>1170683.52</f>
        <v>1170683.52</v>
      </c>
      <c r="X120" s="62"/>
      <c r="Y120" s="72">
        <f t="shared" si="2"/>
        <v>0.8291601986297813</v>
      </c>
    </row>
    <row r="121" spans="1:25" s="1" customFormat="1" ht="13.5" customHeight="1">
      <c r="A121" s="29" t="s">
        <v>224</v>
      </c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30" t="s">
        <v>155</v>
      </c>
      <c r="M121" s="30"/>
      <c r="N121" s="30" t="s">
        <v>225</v>
      </c>
      <c r="O121" s="30"/>
      <c r="P121" s="31">
        <f>740705</f>
        <v>740705</v>
      </c>
      <c r="Q121" s="31"/>
      <c r="R121" s="31"/>
      <c r="S121" s="31">
        <f>416305</f>
        <v>416305</v>
      </c>
      <c r="T121" s="31"/>
      <c r="U121" s="31"/>
      <c r="V121" s="31"/>
      <c r="W121" s="32">
        <f>324400</f>
        <v>324400</v>
      </c>
      <c r="X121" s="62"/>
      <c r="Y121" s="72">
        <f t="shared" si="2"/>
        <v>56.203886837539905</v>
      </c>
    </row>
    <row r="122" spans="1:25" s="1" customFormat="1" ht="24" customHeight="1">
      <c r="A122" s="29" t="s">
        <v>171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30" t="s">
        <v>155</v>
      </c>
      <c r="M122" s="30"/>
      <c r="N122" s="30" t="s">
        <v>226</v>
      </c>
      <c r="O122" s="30"/>
      <c r="P122" s="31">
        <f>740705</f>
        <v>740705</v>
      </c>
      <c r="Q122" s="31"/>
      <c r="R122" s="31"/>
      <c r="S122" s="31">
        <f>416305</f>
        <v>416305</v>
      </c>
      <c r="T122" s="31"/>
      <c r="U122" s="31"/>
      <c r="V122" s="31"/>
      <c r="W122" s="32">
        <f>324400</f>
        <v>324400</v>
      </c>
      <c r="X122" s="62"/>
      <c r="Y122" s="72">
        <f t="shared" si="2"/>
        <v>56.203886837539905</v>
      </c>
    </row>
    <row r="123" spans="1:25" s="1" customFormat="1" ht="24" customHeight="1">
      <c r="A123" s="29" t="s">
        <v>173</v>
      </c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30" t="s">
        <v>155</v>
      </c>
      <c r="M123" s="30"/>
      <c r="N123" s="30" t="s">
        <v>227</v>
      </c>
      <c r="O123" s="30"/>
      <c r="P123" s="31">
        <f>611074</f>
        <v>611074</v>
      </c>
      <c r="Q123" s="31"/>
      <c r="R123" s="31"/>
      <c r="S123" s="31">
        <f>416305</f>
        <v>416305</v>
      </c>
      <c r="T123" s="31"/>
      <c r="U123" s="31"/>
      <c r="V123" s="31"/>
      <c r="W123" s="32">
        <f>194769</f>
        <v>194769</v>
      </c>
      <c r="X123" s="62"/>
      <c r="Y123" s="72">
        <f t="shared" si="2"/>
        <v>68.12677351679174</v>
      </c>
    </row>
    <row r="124" spans="1:25" s="1" customFormat="1" ht="24" customHeight="1">
      <c r="A124" s="29" t="s">
        <v>173</v>
      </c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30" t="s">
        <v>155</v>
      </c>
      <c r="M124" s="30"/>
      <c r="N124" s="30" t="s">
        <v>228</v>
      </c>
      <c r="O124" s="30"/>
      <c r="P124" s="31">
        <f>119631</f>
        <v>119631</v>
      </c>
      <c r="Q124" s="31"/>
      <c r="R124" s="31"/>
      <c r="S124" s="33" t="s">
        <v>48</v>
      </c>
      <c r="T124" s="33"/>
      <c r="U124" s="33"/>
      <c r="V124" s="33"/>
      <c r="W124" s="32">
        <f>119631</f>
        <v>119631</v>
      </c>
      <c r="X124" s="62"/>
      <c r="Y124" s="72" t="e">
        <f t="shared" si="2"/>
        <v>#VALUE!</v>
      </c>
    </row>
    <row r="125" spans="1:25" s="1" customFormat="1" ht="24" customHeight="1">
      <c r="A125" s="29" t="s">
        <v>173</v>
      </c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30" t="s">
        <v>155</v>
      </c>
      <c r="M125" s="30"/>
      <c r="N125" s="30" t="s">
        <v>229</v>
      </c>
      <c r="O125" s="30"/>
      <c r="P125" s="31">
        <f>10000</f>
        <v>10000</v>
      </c>
      <c r="Q125" s="31"/>
      <c r="R125" s="31"/>
      <c r="S125" s="33" t="s">
        <v>48</v>
      </c>
      <c r="T125" s="33"/>
      <c r="U125" s="33"/>
      <c r="V125" s="33"/>
      <c r="W125" s="32">
        <f>10000</f>
        <v>10000</v>
      </c>
      <c r="X125" s="62"/>
      <c r="Y125" s="72" t="e">
        <f t="shared" si="2"/>
        <v>#VALUE!</v>
      </c>
    </row>
    <row r="126" spans="1:25" s="1" customFormat="1" ht="13.5" customHeight="1">
      <c r="A126" s="29" t="s">
        <v>230</v>
      </c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30" t="s">
        <v>155</v>
      </c>
      <c r="M126" s="30"/>
      <c r="N126" s="30" t="s">
        <v>231</v>
      </c>
      <c r="O126" s="30"/>
      <c r="P126" s="31">
        <f>888707.57</f>
        <v>888707.57</v>
      </c>
      <c r="Q126" s="31"/>
      <c r="R126" s="31"/>
      <c r="S126" s="31">
        <f>271386.15</f>
        <v>271386.15</v>
      </c>
      <c r="T126" s="31"/>
      <c r="U126" s="31"/>
      <c r="V126" s="31"/>
      <c r="W126" s="32">
        <f>617321.42</f>
        <v>617321.42</v>
      </c>
      <c r="X126" s="62"/>
      <c r="Y126" s="72">
        <f t="shared" si="2"/>
        <v>30.537170961647153</v>
      </c>
    </row>
    <row r="127" spans="1:25" s="1" customFormat="1" ht="33.75" customHeight="1">
      <c r="A127" s="29" t="s">
        <v>158</v>
      </c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30" t="s">
        <v>155</v>
      </c>
      <c r="M127" s="30"/>
      <c r="N127" s="30" t="s">
        <v>232</v>
      </c>
      <c r="O127" s="30"/>
      <c r="P127" s="31">
        <f>0</f>
        <v>0</v>
      </c>
      <c r="Q127" s="31"/>
      <c r="R127" s="31"/>
      <c r="S127" s="33" t="s">
        <v>48</v>
      </c>
      <c r="T127" s="33"/>
      <c r="U127" s="33"/>
      <c r="V127" s="33"/>
      <c r="W127" s="32">
        <f>0</f>
        <v>0</v>
      </c>
      <c r="X127" s="62"/>
      <c r="Y127" s="72" t="e">
        <f t="shared" si="2"/>
        <v>#VALUE!</v>
      </c>
    </row>
    <row r="128" spans="1:25" s="1" customFormat="1" ht="13.5" customHeight="1">
      <c r="A128" s="29" t="s">
        <v>233</v>
      </c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30" t="s">
        <v>155</v>
      </c>
      <c r="M128" s="30"/>
      <c r="N128" s="30" t="s">
        <v>234</v>
      </c>
      <c r="O128" s="30"/>
      <c r="P128" s="31">
        <f>0</f>
        <v>0</v>
      </c>
      <c r="Q128" s="31"/>
      <c r="R128" s="31"/>
      <c r="S128" s="33" t="s">
        <v>48</v>
      </c>
      <c r="T128" s="33"/>
      <c r="U128" s="33"/>
      <c r="V128" s="33"/>
      <c r="W128" s="32">
        <f>0</f>
        <v>0</v>
      </c>
      <c r="X128" s="62"/>
      <c r="Y128" s="72" t="e">
        <f t="shared" si="2"/>
        <v>#VALUE!</v>
      </c>
    </row>
    <row r="129" spans="1:25" s="1" customFormat="1" ht="24" customHeight="1">
      <c r="A129" s="29" t="s">
        <v>235</v>
      </c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30" t="s">
        <v>155</v>
      </c>
      <c r="M129" s="30"/>
      <c r="N129" s="30" t="s">
        <v>236</v>
      </c>
      <c r="O129" s="30"/>
      <c r="P129" s="31">
        <f>0</f>
        <v>0</v>
      </c>
      <c r="Q129" s="31"/>
      <c r="R129" s="31"/>
      <c r="S129" s="33" t="s">
        <v>48</v>
      </c>
      <c r="T129" s="33"/>
      <c r="U129" s="33"/>
      <c r="V129" s="33"/>
      <c r="W129" s="32">
        <f>0</f>
        <v>0</v>
      </c>
      <c r="X129" s="62"/>
      <c r="Y129" s="72" t="e">
        <f t="shared" si="2"/>
        <v>#VALUE!</v>
      </c>
    </row>
    <row r="130" spans="1:25" s="1" customFormat="1" ht="24" customHeight="1">
      <c r="A130" s="29" t="s">
        <v>171</v>
      </c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30" t="s">
        <v>155</v>
      </c>
      <c r="M130" s="30"/>
      <c r="N130" s="30" t="s">
        <v>237</v>
      </c>
      <c r="O130" s="30"/>
      <c r="P130" s="31">
        <f>888707.57</f>
        <v>888707.57</v>
      </c>
      <c r="Q130" s="31"/>
      <c r="R130" s="31"/>
      <c r="S130" s="31">
        <f>271386.15</f>
        <v>271386.15</v>
      </c>
      <c r="T130" s="31"/>
      <c r="U130" s="31"/>
      <c r="V130" s="31"/>
      <c r="W130" s="32">
        <f>617321.42</f>
        <v>617321.42</v>
      </c>
      <c r="X130" s="62"/>
      <c r="Y130" s="72">
        <f t="shared" si="2"/>
        <v>30.537170961647153</v>
      </c>
    </row>
    <row r="131" spans="1:25" s="1" customFormat="1" ht="24" customHeight="1">
      <c r="A131" s="29" t="s">
        <v>173</v>
      </c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30" t="s">
        <v>155</v>
      </c>
      <c r="M131" s="30"/>
      <c r="N131" s="30" t="s">
        <v>238</v>
      </c>
      <c r="O131" s="30"/>
      <c r="P131" s="31">
        <f>205000</f>
        <v>205000</v>
      </c>
      <c r="Q131" s="31"/>
      <c r="R131" s="31"/>
      <c r="S131" s="31">
        <f>111758.53</f>
        <v>111758.53</v>
      </c>
      <c r="T131" s="31"/>
      <c r="U131" s="31"/>
      <c r="V131" s="31"/>
      <c r="W131" s="32">
        <f>93241.47</f>
        <v>93241.47</v>
      </c>
      <c r="X131" s="62"/>
      <c r="Y131" s="72">
        <f t="shared" si="2"/>
        <v>54.51635609756097</v>
      </c>
    </row>
    <row r="132" spans="1:25" s="1" customFormat="1" ht="24" customHeight="1">
      <c r="A132" s="29" t="s">
        <v>173</v>
      </c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30" t="s">
        <v>155</v>
      </c>
      <c r="M132" s="30"/>
      <c r="N132" s="30" t="s">
        <v>239</v>
      </c>
      <c r="O132" s="30"/>
      <c r="P132" s="31">
        <f>673707.57</f>
        <v>673707.57</v>
      </c>
      <c r="Q132" s="31"/>
      <c r="R132" s="31"/>
      <c r="S132" s="31">
        <f>149891.62</f>
        <v>149891.62</v>
      </c>
      <c r="T132" s="31"/>
      <c r="U132" s="31"/>
      <c r="V132" s="31"/>
      <c r="W132" s="32">
        <f>523815.95</f>
        <v>523815.95</v>
      </c>
      <c r="X132" s="62"/>
      <c r="Y132" s="72">
        <f t="shared" si="2"/>
        <v>22.24876588517478</v>
      </c>
    </row>
    <row r="133" spans="1:25" s="1" customFormat="1" ht="24" customHeight="1">
      <c r="A133" s="29" t="s">
        <v>173</v>
      </c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30" t="s">
        <v>155</v>
      </c>
      <c r="M133" s="30"/>
      <c r="N133" s="30" t="s">
        <v>240</v>
      </c>
      <c r="O133" s="30"/>
      <c r="P133" s="31">
        <f>10000</f>
        <v>10000</v>
      </c>
      <c r="Q133" s="31"/>
      <c r="R133" s="31"/>
      <c r="S133" s="31">
        <f>9736</f>
        <v>9736</v>
      </c>
      <c r="T133" s="31"/>
      <c r="U133" s="31"/>
      <c r="V133" s="31"/>
      <c r="W133" s="32">
        <f>264</f>
        <v>264</v>
      </c>
      <c r="X133" s="62"/>
      <c r="Y133" s="72">
        <f t="shared" si="2"/>
        <v>97.36</v>
      </c>
    </row>
    <row r="134" spans="1:25" s="1" customFormat="1" ht="13.5" customHeight="1">
      <c r="A134" s="29" t="s">
        <v>176</v>
      </c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30" t="s">
        <v>155</v>
      </c>
      <c r="M134" s="30"/>
      <c r="N134" s="30" t="s">
        <v>241</v>
      </c>
      <c r="O134" s="30"/>
      <c r="P134" s="31">
        <f>0</f>
        <v>0</v>
      </c>
      <c r="Q134" s="31"/>
      <c r="R134" s="31"/>
      <c r="S134" s="33" t="s">
        <v>48</v>
      </c>
      <c r="T134" s="33"/>
      <c r="U134" s="33"/>
      <c r="V134" s="33"/>
      <c r="W134" s="32">
        <f>0</f>
        <v>0</v>
      </c>
      <c r="X134" s="62"/>
      <c r="Y134" s="72" t="e">
        <f t="shared" si="2"/>
        <v>#VALUE!</v>
      </c>
    </row>
    <row r="135" spans="1:25" s="1" customFormat="1" ht="13.5" customHeight="1">
      <c r="A135" s="29" t="s">
        <v>205</v>
      </c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30" t="s">
        <v>155</v>
      </c>
      <c r="M135" s="30"/>
      <c r="N135" s="30" t="s">
        <v>242</v>
      </c>
      <c r="O135" s="30"/>
      <c r="P135" s="31">
        <f>0</f>
        <v>0</v>
      </c>
      <c r="Q135" s="31"/>
      <c r="R135" s="31"/>
      <c r="S135" s="33" t="s">
        <v>48</v>
      </c>
      <c r="T135" s="33"/>
      <c r="U135" s="33"/>
      <c r="V135" s="33"/>
      <c r="W135" s="32">
        <f>0</f>
        <v>0</v>
      </c>
      <c r="X135" s="62"/>
      <c r="Y135" s="72" t="e">
        <f t="shared" si="2"/>
        <v>#VALUE!</v>
      </c>
    </row>
    <row r="136" spans="1:25" s="1" customFormat="1" ht="13.5" customHeight="1">
      <c r="A136" s="29" t="s">
        <v>243</v>
      </c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30" t="s">
        <v>155</v>
      </c>
      <c r="M136" s="30"/>
      <c r="N136" s="30" t="s">
        <v>244</v>
      </c>
      <c r="O136" s="30"/>
      <c r="P136" s="31">
        <f>30000</f>
        <v>30000</v>
      </c>
      <c r="Q136" s="31"/>
      <c r="R136" s="31"/>
      <c r="S136" s="31">
        <f>29351.5</f>
        <v>29351.5</v>
      </c>
      <c r="T136" s="31"/>
      <c r="U136" s="31"/>
      <c r="V136" s="31"/>
      <c r="W136" s="32">
        <f>648.5</f>
        <v>648.5</v>
      </c>
      <c r="X136" s="62"/>
      <c r="Y136" s="72">
        <f t="shared" si="2"/>
        <v>97.83833333333334</v>
      </c>
    </row>
    <row r="137" spans="1:25" s="1" customFormat="1" ht="24" customHeight="1">
      <c r="A137" s="29" t="s">
        <v>171</v>
      </c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30" t="s">
        <v>155</v>
      </c>
      <c r="M137" s="30"/>
      <c r="N137" s="30" t="s">
        <v>245</v>
      </c>
      <c r="O137" s="30"/>
      <c r="P137" s="31">
        <f>30000</f>
        <v>30000</v>
      </c>
      <c r="Q137" s="31"/>
      <c r="R137" s="31"/>
      <c r="S137" s="31">
        <f>29351.5</f>
        <v>29351.5</v>
      </c>
      <c r="T137" s="31"/>
      <c r="U137" s="31"/>
      <c r="V137" s="31"/>
      <c r="W137" s="32">
        <f>648.5</f>
        <v>648.5</v>
      </c>
      <c r="X137" s="62"/>
      <c r="Y137" s="72">
        <f t="shared" si="2"/>
        <v>97.83833333333334</v>
      </c>
    </row>
    <row r="138" spans="1:25" s="1" customFormat="1" ht="24" customHeight="1">
      <c r="A138" s="29" t="s">
        <v>173</v>
      </c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30" t="s">
        <v>155</v>
      </c>
      <c r="M138" s="30"/>
      <c r="N138" s="30" t="s">
        <v>246</v>
      </c>
      <c r="O138" s="30"/>
      <c r="P138" s="31">
        <f>30000</f>
        <v>30000</v>
      </c>
      <c r="Q138" s="31"/>
      <c r="R138" s="31"/>
      <c r="S138" s="31">
        <f>29351.5</f>
        <v>29351.5</v>
      </c>
      <c r="T138" s="31"/>
      <c r="U138" s="31"/>
      <c r="V138" s="31"/>
      <c r="W138" s="32">
        <f>648.5</f>
        <v>648.5</v>
      </c>
      <c r="X138" s="62"/>
      <c r="Y138" s="72">
        <f t="shared" si="2"/>
        <v>97.83833333333334</v>
      </c>
    </row>
    <row r="139" spans="1:25" s="1" customFormat="1" ht="13.5" customHeight="1">
      <c r="A139" s="29" t="s">
        <v>247</v>
      </c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30" t="s">
        <v>155</v>
      </c>
      <c r="M139" s="30"/>
      <c r="N139" s="30" t="s">
        <v>248</v>
      </c>
      <c r="O139" s="30"/>
      <c r="P139" s="31">
        <f>11744900</f>
        <v>11744900</v>
      </c>
      <c r="Q139" s="31"/>
      <c r="R139" s="31"/>
      <c r="S139" s="31">
        <f>5644860.72</f>
        <v>5644860.72</v>
      </c>
      <c r="T139" s="31"/>
      <c r="U139" s="31"/>
      <c r="V139" s="31"/>
      <c r="W139" s="32">
        <f>6100039.28</f>
        <v>6100039.28</v>
      </c>
      <c r="X139" s="62"/>
      <c r="Y139" s="72">
        <f t="shared" si="2"/>
        <v>48.06222888232339</v>
      </c>
    </row>
    <row r="140" spans="1:25" s="1" customFormat="1" ht="33.75" customHeight="1">
      <c r="A140" s="29" t="s">
        <v>158</v>
      </c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30" t="s">
        <v>155</v>
      </c>
      <c r="M140" s="30"/>
      <c r="N140" s="30" t="s">
        <v>249</v>
      </c>
      <c r="O140" s="30"/>
      <c r="P140" s="31">
        <f>8581900</f>
        <v>8581900</v>
      </c>
      <c r="Q140" s="31"/>
      <c r="R140" s="31"/>
      <c r="S140" s="31">
        <f>4247842.1</f>
        <v>4247842.1</v>
      </c>
      <c r="T140" s="31"/>
      <c r="U140" s="31"/>
      <c r="V140" s="31"/>
      <c r="W140" s="32">
        <f>4334057.9</f>
        <v>4334057.9</v>
      </c>
      <c r="X140" s="62"/>
      <c r="Y140" s="72">
        <f t="shared" si="2"/>
        <v>49.49768815763409</v>
      </c>
    </row>
    <row r="141" spans="1:25" s="1" customFormat="1" ht="13.5" customHeight="1">
      <c r="A141" s="29" t="s">
        <v>233</v>
      </c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30" t="s">
        <v>155</v>
      </c>
      <c r="M141" s="30"/>
      <c r="N141" s="30" t="s">
        <v>250</v>
      </c>
      <c r="O141" s="30"/>
      <c r="P141" s="31">
        <f>3076680</f>
        <v>3076680</v>
      </c>
      <c r="Q141" s="31"/>
      <c r="R141" s="31"/>
      <c r="S141" s="31">
        <f>1812064.42</f>
        <v>1812064.42</v>
      </c>
      <c r="T141" s="31"/>
      <c r="U141" s="31"/>
      <c r="V141" s="31"/>
      <c r="W141" s="32">
        <f>1264615.58</f>
        <v>1264615.58</v>
      </c>
      <c r="X141" s="62"/>
      <c r="Y141" s="72">
        <f aca="true" t="shared" si="3" ref="Y141:Y192">S141/P141*100</f>
        <v>58.89674649297294</v>
      </c>
    </row>
    <row r="142" spans="1:25" s="1" customFormat="1" ht="13.5" customHeight="1">
      <c r="A142" s="29" t="s">
        <v>233</v>
      </c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30" t="s">
        <v>155</v>
      </c>
      <c r="M142" s="30"/>
      <c r="N142" s="30" t="s">
        <v>251</v>
      </c>
      <c r="O142" s="30"/>
      <c r="P142" s="31">
        <f>3190000</f>
        <v>3190000</v>
      </c>
      <c r="Q142" s="31"/>
      <c r="R142" s="31"/>
      <c r="S142" s="31">
        <f>1316944.86</f>
        <v>1316944.86</v>
      </c>
      <c r="T142" s="31"/>
      <c r="U142" s="31"/>
      <c r="V142" s="31"/>
      <c r="W142" s="32">
        <f>1873055.14</f>
        <v>1873055.14</v>
      </c>
      <c r="X142" s="62"/>
      <c r="Y142" s="72">
        <f t="shared" si="3"/>
        <v>41.28353793103449</v>
      </c>
    </row>
    <row r="143" spans="1:25" s="1" customFormat="1" ht="13.5" customHeight="1">
      <c r="A143" s="29" t="s">
        <v>233</v>
      </c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30" t="s">
        <v>155</v>
      </c>
      <c r="M143" s="30"/>
      <c r="N143" s="30" t="s">
        <v>252</v>
      </c>
      <c r="O143" s="30"/>
      <c r="P143" s="31">
        <f>301920</f>
        <v>301920</v>
      </c>
      <c r="Q143" s="31"/>
      <c r="R143" s="31"/>
      <c r="S143" s="31">
        <f>116648.06</f>
        <v>116648.06</v>
      </c>
      <c r="T143" s="31"/>
      <c r="U143" s="31"/>
      <c r="V143" s="31"/>
      <c r="W143" s="32">
        <f>185271.94</f>
        <v>185271.94</v>
      </c>
      <c r="X143" s="62"/>
      <c r="Y143" s="72">
        <f t="shared" si="3"/>
        <v>38.63541997880233</v>
      </c>
    </row>
    <row r="144" spans="1:25" s="1" customFormat="1" ht="24" customHeight="1">
      <c r="A144" s="29" t="s">
        <v>253</v>
      </c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30" t="s">
        <v>155</v>
      </c>
      <c r="M144" s="30"/>
      <c r="N144" s="30" t="s">
        <v>254</v>
      </c>
      <c r="O144" s="30"/>
      <c r="P144" s="31">
        <f>32000</f>
        <v>32000</v>
      </c>
      <c r="Q144" s="31"/>
      <c r="R144" s="31"/>
      <c r="S144" s="31">
        <f>9650</f>
        <v>9650</v>
      </c>
      <c r="T144" s="31"/>
      <c r="U144" s="31"/>
      <c r="V144" s="31"/>
      <c r="W144" s="32">
        <f>22350</f>
        <v>22350</v>
      </c>
      <c r="X144" s="62"/>
      <c r="Y144" s="72">
        <f t="shared" si="3"/>
        <v>30.15625</v>
      </c>
    </row>
    <row r="145" spans="1:25" s="1" customFormat="1" ht="24" customHeight="1">
      <c r="A145" s="29" t="s">
        <v>235</v>
      </c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30" t="s">
        <v>155</v>
      </c>
      <c r="M145" s="30"/>
      <c r="N145" s="30" t="s">
        <v>255</v>
      </c>
      <c r="O145" s="30"/>
      <c r="P145" s="31">
        <f>930320</f>
        <v>930320</v>
      </c>
      <c r="Q145" s="31"/>
      <c r="R145" s="31"/>
      <c r="S145" s="31">
        <f>558559.35</f>
        <v>558559.35</v>
      </c>
      <c r="T145" s="31"/>
      <c r="U145" s="31"/>
      <c r="V145" s="31"/>
      <c r="W145" s="32">
        <f>371760.65</f>
        <v>371760.65</v>
      </c>
      <c r="X145" s="62"/>
      <c r="Y145" s="72">
        <f t="shared" si="3"/>
        <v>60.03948641327715</v>
      </c>
    </row>
    <row r="146" spans="1:25" s="1" customFormat="1" ht="24" customHeight="1">
      <c r="A146" s="29" t="s">
        <v>235</v>
      </c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30" t="s">
        <v>155</v>
      </c>
      <c r="M146" s="30"/>
      <c r="N146" s="30" t="s">
        <v>256</v>
      </c>
      <c r="O146" s="30"/>
      <c r="P146" s="31">
        <f>959800</f>
        <v>959800</v>
      </c>
      <c r="Q146" s="31"/>
      <c r="R146" s="31"/>
      <c r="S146" s="31">
        <f>397717.35</f>
        <v>397717.35</v>
      </c>
      <c r="T146" s="31"/>
      <c r="U146" s="31"/>
      <c r="V146" s="31"/>
      <c r="W146" s="32">
        <f>562082.65</f>
        <v>562082.65</v>
      </c>
      <c r="X146" s="62"/>
      <c r="Y146" s="72">
        <f t="shared" si="3"/>
        <v>41.43752344238383</v>
      </c>
    </row>
    <row r="147" spans="1:25" s="1" customFormat="1" ht="24" customHeight="1">
      <c r="A147" s="29" t="s">
        <v>235</v>
      </c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30" t="s">
        <v>155</v>
      </c>
      <c r="M147" s="30"/>
      <c r="N147" s="30" t="s">
        <v>257</v>
      </c>
      <c r="O147" s="30"/>
      <c r="P147" s="31">
        <f>91180</f>
        <v>91180</v>
      </c>
      <c r="Q147" s="31"/>
      <c r="R147" s="31"/>
      <c r="S147" s="31">
        <f>36258.06</f>
        <v>36258.06</v>
      </c>
      <c r="T147" s="31"/>
      <c r="U147" s="31"/>
      <c r="V147" s="31"/>
      <c r="W147" s="32">
        <f>54921.94</f>
        <v>54921.94</v>
      </c>
      <c r="X147" s="62"/>
      <c r="Y147" s="72">
        <f t="shared" si="3"/>
        <v>39.76536521166922</v>
      </c>
    </row>
    <row r="148" spans="1:25" s="1" customFormat="1" ht="24" customHeight="1">
      <c r="A148" s="29" t="s">
        <v>171</v>
      </c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30" t="s">
        <v>155</v>
      </c>
      <c r="M148" s="30"/>
      <c r="N148" s="30" t="s">
        <v>258</v>
      </c>
      <c r="O148" s="30"/>
      <c r="P148" s="31">
        <f>2698000</f>
        <v>2698000</v>
      </c>
      <c r="Q148" s="31"/>
      <c r="R148" s="31"/>
      <c r="S148" s="31">
        <f>1198326.98</f>
        <v>1198326.98</v>
      </c>
      <c r="T148" s="31"/>
      <c r="U148" s="31"/>
      <c r="V148" s="31"/>
      <c r="W148" s="32">
        <f>1499673.02</f>
        <v>1499673.02</v>
      </c>
      <c r="X148" s="62"/>
      <c r="Y148" s="72">
        <f t="shared" si="3"/>
        <v>44.415381022979986</v>
      </c>
    </row>
    <row r="149" spans="1:25" s="1" customFormat="1" ht="24" customHeight="1">
      <c r="A149" s="29" t="s">
        <v>173</v>
      </c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30" t="s">
        <v>155</v>
      </c>
      <c r="M149" s="30"/>
      <c r="N149" s="30" t="s">
        <v>259</v>
      </c>
      <c r="O149" s="30"/>
      <c r="P149" s="31">
        <f>2542000</f>
        <v>2542000</v>
      </c>
      <c r="Q149" s="31"/>
      <c r="R149" s="31"/>
      <c r="S149" s="31">
        <f>1043326.98</f>
        <v>1043326.98</v>
      </c>
      <c r="T149" s="31"/>
      <c r="U149" s="31"/>
      <c r="V149" s="31"/>
      <c r="W149" s="32">
        <f>1498673.02</f>
        <v>1498673.02</v>
      </c>
      <c r="X149" s="62"/>
      <c r="Y149" s="72">
        <f t="shared" si="3"/>
        <v>41.04354760031471</v>
      </c>
    </row>
    <row r="150" spans="1:25" s="1" customFormat="1" ht="24" customHeight="1">
      <c r="A150" s="29" t="s">
        <v>173</v>
      </c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30" t="s">
        <v>155</v>
      </c>
      <c r="M150" s="30"/>
      <c r="N150" s="30" t="s">
        <v>260</v>
      </c>
      <c r="O150" s="30"/>
      <c r="P150" s="31">
        <f>156000</f>
        <v>156000</v>
      </c>
      <c r="Q150" s="31"/>
      <c r="R150" s="31"/>
      <c r="S150" s="31">
        <f>155000</f>
        <v>155000</v>
      </c>
      <c r="T150" s="31"/>
      <c r="U150" s="31"/>
      <c r="V150" s="31"/>
      <c r="W150" s="32">
        <f>1000</f>
        <v>1000</v>
      </c>
      <c r="X150" s="62"/>
      <c r="Y150" s="72">
        <f t="shared" si="3"/>
        <v>99.35897435897436</v>
      </c>
    </row>
    <row r="151" spans="1:25" s="1" customFormat="1" ht="13.5" customHeight="1">
      <c r="A151" s="29" t="s">
        <v>176</v>
      </c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30" t="s">
        <v>155</v>
      </c>
      <c r="M151" s="30"/>
      <c r="N151" s="30" t="s">
        <v>261</v>
      </c>
      <c r="O151" s="30"/>
      <c r="P151" s="31">
        <f>465000</f>
        <v>465000</v>
      </c>
      <c r="Q151" s="31"/>
      <c r="R151" s="31"/>
      <c r="S151" s="31">
        <f>198691.64</f>
        <v>198691.64</v>
      </c>
      <c r="T151" s="31"/>
      <c r="U151" s="31"/>
      <c r="V151" s="31"/>
      <c r="W151" s="32">
        <f>266308.36</f>
        <v>266308.36</v>
      </c>
      <c r="X151" s="62"/>
      <c r="Y151" s="72">
        <f t="shared" si="3"/>
        <v>42.729384946236564</v>
      </c>
    </row>
    <row r="152" spans="1:25" s="1" customFormat="1" ht="45" customHeight="1">
      <c r="A152" s="29" t="s">
        <v>203</v>
      </c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30" t="s">
        <v>155</v>
      </c>
      <c r="M152" s="30"/>
      <c r="N152" s="30" t="s">
        <v>262</v>
      </c>
      <c r="O152" s="30"/>
      <c r="P152" s="31">
        <f>15000</f>
        <v>15000</v>
      </c>
      <c r="Q152" s="31"/>
      <c r="R152" s="31"/>
      <c r="S152" s="33" t="s">
        <v>48</v>
      </c>
      <c r="T152" s="33"/>
      <c r="U152" s="33"/>
      <c r="V152" s="33"/>
      <c r="W152" s="32">
        <f>15000</f>
        <v>15000</v>
      </c>
      <c r="X152" s="62"/>
      <c r="Y152" s="72" t="e">
        <f t="shared" si="3"/>
        <v>#VALUE!</v>
      </c>
    </row>
    <row r="153" spans="1:25" s="1" customFormat="1" ht="13.5" customHeight="1">
      <c r="A153" s="29" t="s">
        <v>178</v>
      </c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30" t="s">
        <v>155</v>
      </c>
      <c r="M153" s="30"/>
      <c r="N153" s="30" t="s">
        <v>263</v>
      </c>
      <c r="O153" s="30"/>
      <c r="P153" s="31">
        <f>420000</f>
        <v>420000</v>
      </c>
      <c r="Q153" s="31"/>
      <c r="R153" s="31"/>
      <c r="S153" s="31">
        <f>183415</f>
        <v>183415</v>
      </c>
      <c r="T153" s="31"/>
      <c r="U153" s="31"/>
      <c r="V153" s="31"/>
      <c r="W153" s="32">
        <f>236585</f>
        <v>236585</v>
      </c>
      <c r="X153" s="62"/>
      <c r="Y153" s="72">
        <f t="shared" si="3"/>
        <v>43.6702380952381</v>
      </c>
    </row>
    <row r="154" spans="1:25" s="1" customFormat="1" ht="13.5" customHeight="1">
      <c r="A154" s="29" t="s">
        <v>180</v>
      </c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30" t="s">
        <v>155</v>
      </c>
      <c r="M154" s="30"/>
      <c r="N154" s="30" t="s">
        <v>264</v>
      </c>
      <c r="O154" s="30"/>
      <c r="P154" s="31">
        <f>30000</f>
        <v>30000</v>
      </c>
      <c r="Q154" s="31"/>
      <c r="R154" s="31"/>
      <c r="S154" s="31">
        <f>15276.64</f>
        <v>15276.64</v>
      </c>
      <c r="T154" s="31"/>
      <c r="U154" s="31"/>
      <c r="V154" s="31"/>
      <c r="W154" s="32">
        <f>14723.36</f>
        <v>14723.36</v>
      </c>
      <c r="X154" s="62"/>
      <c r="Y154" s="72">
        <f t="shared" si="3"/>
        <v>50.92213333333333</v>
      </c>
    </row>
    <row r="155" spans="1:25" s="1" customFormat="1" ht="13.5" customHeight="1">
      <c r="A155" s="29" t="s">
        <v>205</v>
      </c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30" t="s">
        <v>155</v>
      </c>
      <c r="M155" s="30"/>
      <c r="N155" s="30" t="s">
        <v>265</v>
      </c>
      <c r="O155" s="30"/>
      <c r="P155" s="31">
        <f>0</f>
        <v>0</v>
      </c>
      <c r="Q155" s="31"/>
      <c r="R155" s="31"/>
      <c r="S155" s="33" t="s">
        <v>48</v>
      </c>
      <c r="T155" s="33"/>
      <c r="U155" s="33"/>
      <c r="V155" s="33"/>
      <c r="W155" s="32">
        <f>0</f>
        <v>0</v>
      </c>
      <c r="X155" s="62"/>
      <c r="Y155" s="72" t="e">
        <f t="shared" si="3"/>
        <v>#VALUE!</v>
      </c>
    </row>
    <row r="156" spans="1:25" s="1" customFormat="1" ht="13.5" customHeight="1">
      <c r="A156" s="29" t="s">
        <v>266</v>
      </c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30" t="s">
        <v>155</v>
      </c>
      <c r="M156" s="30"/>
      <c r="N156" s="30" t="s">
        <v>267</v>
      </c>
      <c r="O156" s="30"/>
      <c r="P156" s="31">
        <f>35000</f>
        <v>35000</v>
      </c>
      <c r="Q156" s="31"/>
      <c r="R156" s="31"/>
      <c r="S156" s="33" t="s">
        <v>48</v>
      </c>
      <c r="T156" s="33"/>
      <c r="U156" s="33"/>
      <c r="V156" s="33"/>
      <c r="W156" s="32">
        <f>35000</f>
        <v>35000</v>
      </c>
      <c r="X156" s="62"/>
      <c r="Y156" s="72" t="e">
        <f t="shared" si="3"/>
        <v>#VALUE!</v>
      </c>
    </row>
    <row r="157" spans="1:25" s="1" customFormat="1" ht="24" customHeight="1">
      <c r="A157" s="29" t="s">
        <v>171</v>
      </c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30" t="s">
        <v>155</v>
      </c>
      <c r="M157" s="30"/>
      <c r="N157" s="30" t="s">
        <v>268</v>
      </c>
      <c r="O157" s="30"/>
      <c r="P157" s="31">
        <f>35000</f>
        <v>35000</v>
      </c>
      <c r="Q157" s="31"/>
      <c r="R157" s="31"/>
      <c r="S157" s="33" t="s">
        <v>48</v>
      </c>
      <c r="T157" s="33"/>
      <c r="U157" s="33"/>
      <c r="V157" s="33"/>
      <c r="W157" s="32">
        <f>35000</f>
        <v>35000</v>
      </c>
      <c r="X157" s="62"/>
      <c r="Y157" s="72" t="e">
        <f t="shared" si="3"/>
        <v>#VALUE!</v>
      </c>
    </row>
    <row r="158" spans="1:25" s="1" customFormat="1" ht="24" customHeight="1">
      <c r="A158" s="29" t="s">
        <v>173</v>
      </c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30" t="s">
        <v>155</v>
      </c>
      <c r="M158" s="30"/>
      <c r="N158" s="30" t="s">
        <v>269</v>
      </c>
      <c r="O158" s="30"/>
      <c r="P158" s="31">
        <f>35000</f>
        <v>35000</v>
      </c>
      <c r="Q158" s="31"/>
      <c r="R158" s="31"/>
      <c r="S158" s="33" t="s">
        <v>48</v>
      </c>
      <c r="T158" s="33"/>
      <c r="U158" s="33"/>
      <c r="V158" s="33"/>
      <c r="W158" s="32">
        <f>35000</f>
        <v>35000</v>
      </c>
      <c r="X158" s="62"/>
      <c r="Y158" s="72" t="e">
        <f t="shared" si="3"/>
        <v>#VALUE!</v>
      </c>
    </row>
    <row r="159" spans="1:25" s="1" customFormat="1" ht="13.5" customHeight="1">
      <c r="A159" s="29" t="s">
        <v>270</v>
      </c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30" t="s">
        <v>155</v>
      </c>
      <c r="M159" s="30"/>
      <c r="N159" s="30" t="s">
        <v>271</v>
      </c>
      <c r="O159" s="30"/>
      <c r="P159" s="31">
        <f>20000</f>
        <v>20000</v>
      </c>
      <c r="Q159" s="31"/>
      <c r="R159" s="31"/>
      <c r="S159" s="31">
        <f>19234</f>
        <v>19234</v>
      </c>
      <c r="T159" s="31"/>
      <c r="U159" s="31"/>
      <c r="V159" s="31"/>
      <c r="W159" s="32">
        <f>766</f>
        <v>766</v>
      </c>
      <c r="X159" s="62"/>
      <c r="Y159" s="72">
        <f t="shared" si="3"/>
        <v>96.17</v>
      </c>
    </row>
    <row r="160" spans="1:25" s="1" customFormat="1" ht="24" customHeight="1">
      <c r="A160" s="29" t="s">
        <v>171</v>
      </c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30" t="s">
        <v>155</v>
      </c>
      <c r="M160" s="30"/>
      <c r="N160" s="30" t="s">
        <v>272</v>
      </c>
      <c r="O160" s="30"/>
      <c r="P160" s="31">
        <f>20000</f>
        <v>20000</v>
      </c>
      <c r="Q160" s="31"/>
      <c r="R160" s="31"/>
      <c r="S160" s="31">
        <f>19234</f>
        <v>19234</v>
      </c>
      <c r="T160" s="31"/>
      <c r="U160" s="31"/>
      <c r="V160" s="31"/>
      <c r="W160" s="32">
        <f>766</f>
        <v>766</v>
      </c>
      <c r="X160" s="62"/>
      <c r="Y160" s="72">
        <f t="shared" si="3"/>
        <v>96.17</v>
      </c>
    </row>
    <row r="161" spans="1:25" s="1" customFormat="1" ht="24" customHeight="1">
      <c r="A161" s="29" t="s">
        <v>173</v>
      </c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30" t="s">
        <v>155</v>
      </c>
      <c r="M161" s="30"/>
      <c r="N161" s="30" t="s">
        <v>273</v>
      </c>
      <c r="O161" s="30"/>
      <c r="P161" s="31">
        <f>20000</f>
        <v>20000</v>
      </c>
      <c r="Q161" s="31"/>
      <c r="R161" s="31"/>
      <c r="S161" s="31">
        <f>19234</f>
        <v>19234</v>
      </c>
      <c r="T161" s="31"/>
      <c r="U161" s="31"/>
      <c r="V161" s="31"/>
      <c r="W161" s="32">
        <f>766</f>
        <v>766</v>
      </c>
      <c r="X161" s="62"/>
      <c r="Y161" s="72">
        <f t="shared" si="3"/>
        <v>96.17</v>
      </c>
    </row>
    <row r="162" spans="1:25" s="1" customFormat="1" ht="13.5" customHeight="1">
      <c r="A162" s="29" t="s">
        <v>274</v>
      </c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30" t="s">
        <v>155</v>
      </c>
      <c r="M162" s="30"/>
      <c r="N162" s="30" t="s">
        <v>275</v>
      </c>
      <c r="O162" s="30"/>
      <c r="P162" s="31">
        <f>281551.02</f>
        <v>281551.02</v>
      </c>
      <c r="Q162" s="31"/>
      <c r="R162" s="31"/>
      <c r="S162" s="31">
        <f>66041.1</f>
        <v>66041.1</v>
      </c>
      <c r="T162" s="31"/>
      <c r="U162" s="31"/>
      <c r="V162" s="31"/>
      <c r="W162" s="32">
        <f>215509.92</f>
        <v>215509.92</v>
      </c>
      <c r="X162" s="62"/>
      <c r="Y162" s="72">
        <f t="shared" si="3"/>
        <v>23.45617501225888</v>
      </c>
    </row>
    <row r="163" spans="1:25" s="1" customFormat="1" ht="24" customHeight="1">
      <c r="A163" s="29" t="s">
        <v>171</v>
      </c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30" t="s">
        <v>155</v>
      </c>
      <c r="M163" s="30"/>
      <c r="N163" s="30" t="s">
        <v>276</v>
      </c>
      <c r="O163" s="30"/>
      <c r="P163" s="31">
        <f>281551.02</f>
        <v>281551.02</v>
      </c>
      <c r="Q163" s="31"/>
      <c r="R163" s="31"/>
      <c r="S163" s="31">
        <f>66041.1</f>
        <v>66041.1</v>
      </c>
      <c r="T163" s="31"/>
      <c r="U163" s="31"/>
      <c r="V163" s="31"/>
      <c r="W163" s="32">
        <f>215509.92</f>
        <v>215509.92</v>
      </c>
      <c r="X163" s="62"/>
      <c r="Y163" s="72">
        <f t="shared" si="3"/>
        <v>23.45617501225888</v>
      </c>
    </row>
    <row r="164" spans="1:25" s="1" customFormat="1" ht="24" customHeight="1">
      <c r="A164" s="29" t="s">
        <v>173</v>
      </c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30" t="s">
        <v>155</v>
      </c>
      <c r="M164" s="30"/>
      <c r="N164" s="30" t="s">
        <v>277</v>
      </c>
      <c r="O164" s="30"/>
      <c r="P164" s="31">
        <f>281551.02</f>
        <v>281551.02</v>
      </c>
      <c r="Q164" s="31"/>
      <c r="R164" s="31"/>
      <c r="S164" s="31">
        <f>66041.1</f>
        <v>66041.1</v>
      </c>
      <c r="T164" s="31"/>
      <c r="U164" s="31"/>
      <c r="V164" s="31"/>
      <c r="W164" s="32">
        <f>215509.92</f>
        <v>215509.92</v>
      </c>
      <c r="X164" s="62"/>
      <c r="Y164" s="72">
        <f t="shared" si="3"/>
        <v>23.45617501225888</v>
      </c>
    </row>
    <row r="165" spans="1:25" s="1" customFormat="1" ht="13.5" customHeight="1">
      <c r="A165" s="29" t="s">
        <v>278</v>
      </c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30" t="s">
        <v>155</v>
      </c>
      <c r="M165" s="30"/>
      <c r="N165" s="30" t="s">
        <v>279</v>
      </c>
      <c r="O165" s="30"/>
      <c r="P165" s="31">
        <f>38646.52</f>
        <v>38646.52</v>
      </c>
      <c r="Q165" s="31"/>
      <c r="R165" s="31"/>
      <c r="S165" s="31">
        <f>38646.52</f>
        <v>38646.52</v>
      </c>
      <c r="T165" s="31"/>
      <c r="U165" s="31"/>
      <c r="V165" s="31"/>
      <c r="W165" s="32">
        <f>0</f>
        <v>0</v>
      </c>
      <c r="X165" s="62"/>
      <c r="Y165" s="72">
        <f t="shared" si="3"/>
        <v>100</v>
      </c>
    </row>
    <row r="166" spans="1:25" s="1" customFormat="1" ht="13.5" customHeight="1">
      <c r="A166" s="29" t="s">
        <v>280</v>
      </c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30" t="s">
        <v>155</v>
      </c>
      <c r="M166" s="30"/>
      <c r="N166" s="30" t="s">
        <v>281</v>
      </c>
      <c r="O166" s="30"/>
      <c r="P166" s="31">
        <f>38646.52</f>
        <v>38646.52</v>
      </c>
      <c r="Q166" s="31"/>
      <c r="R166" s="31"/>
      <c r="S166" s="31">
        <f>38646.52</f>
        <v>38646.52</v>
      </c>
      <c r="T166" s="31"/>
      <c r="U166" s="31"/>
      <c r="V166" s="31"/>
      <c r="W166" s="32">
        <f>0</f>
        <v>0</v>
      </c>
      <c r="X166" s="62"/>
      <c r="Y166" s="72">
        <f t="shared" si="3"/>
        <v>100</v>
      </c>
    </row>
    <row r="167" spans="1:25" s="1" customFormat="1" ht="13.5" customHeight="1">
      <c r="A167" s="29" t="s">
        <v>282</v>
      </c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30" t="s">
        <v>155</v>
      </c>
      <c r="M167" s="30"/>
      <c r="N167" s="30" t="s">
        <v>283</v>
      </c>
      <c r="O167" s="30"/>
      <c r="P167" s="31">
        <f>38646.52</f>
        <v>38646.52</v>
      </c>
      <c r="Q167" s="31"/>
      <c r="R167" s="31"/>
      <c r="S167" s="31">
        <f>38646.52</f>
        <v>38646.52</v>
      </c>
      <c r="T167" s="31"/>
      <c r="U167" s="31"/>
      <c r="V167" s="31"/>
      <c r="W167" s="32">
        <f>0</f>
        <v>0</v>
      </c>
      <c r="X167" s="62"/>
      <c r="Y167" s="72">
        <f t="shared" si="3"/>
        <v>100</v>
      </c>
    </row>
    <row r="168" spans="1:25" s="1" customFormat="1" ht="15" customHeight="1">
      <c r="A168" s="34" t="s">
        <v>284</v>
      </c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5" t="s">
        <v>285</v>
      </c>
      <c r="M168" s="35"/>
      <c r="N168" s="35" t="s">
        <v>37</v>
      </c>
      <c r="O168" s="35"/>
      <c r="P168" s="36">
        <f>1211036.26</f>
        <v>1211036.26</v>
      </c>
      <c r="Q168" s="36"/>
      <c r="R168" s="36"/>
      <c r="S168" s="36">
        <f>223370.87</f>
        <v>223370.87</v>
      </c>
      <c r="T168" s="36"/>
      <c r="U168" s="36"/>
      <c r="V168" s="36"/>
      <c r="W168" s="37" t="s">
        <v>37</v>
      </c>
      <c r="X168" s="63"/>
      <c r="Y168" s="72">
        <f t="shared" si="3"/>
        <v>18.44460627462963</v>
      </c>
    </row>
    <row r="169" spans="1:25" s="1" customFormat="1" ht="13.5" customHeight="1">
      <c r="A169" s="7" t="s">
        <v>11</v>
      </c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2" t="e">
        <f t="shared" si="3"/>
        <v>#DIV/0!</v>
      </c>
    </row>
    <row r="170" spans="1:25" s="1" customFormat="1" ht="13.5" customHeight="1">
      <c r="A170" s="12" t="s">
        <v>286</v>
      </c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72" t="e">
        <f t="shared" si="3"/>
        <v>#DIV/0!</v>
      </c>
    </row>
    <row r="171" spans="1:25" s="1" customFormat="1" ht="45.75" customHeight="1">
      <c r="A171" s="13" t="s">
        <v>23</v>
      </c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 t="s">
        <v>24</v>
      </c>
      <c r="M171" s="13"/>
      <c r="N171" s="13" t="s">
        <v>287</v>
      </c>
      <c r="O171" s="13"/>
      <c r="P171" s="14" t="s">
        <v>26</v>
      </c>
      <c r="Q171" s="14"/>
      <c r="R171" s="14"/>
      <c r="S171" s="14" t="s">
        <v>27</v>
      </c>
      <c r="T171" s="14"/>
      <c r="U171" s="14"/>
      <c r="V171" s="14"/>
      <c r="W171" s="15" t="s">
        <v>28</v>
      </c>
      <c r="X171" s="58"/>
      <c r="Y171" s="72" t="e">
        <f t="shared" si="3"/>
        <v>#VALUE!</v>
      </c>
    </row>
    <row r="172" spans="1:25" s="1" customFormat="1" ht="12.75" customHeight="1">
      <c r="A172" s="16" t="s">
        <v>29</v>
      </c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 t="s">
        <v>30</v>
      </c>
      <c r="M172" s="16"/>
      <c r="N172" s="16" t="s">
        <v>31</v>
      </c>
      <c r="O172" s="16"/>
      <c r="P172" s="17" t="s">
        <v>32</v>
      </c>
      <c r="Q172" s="17"/>
      <c r="R172" s="17"/>
      <c r="S172" s="17" t="s">
        <v>33</v>
      </c>
      <c r="T172" s="17"/>
      <c r="U172" s="17"/>
      <c r="V172" s="17"/>
      <c r="W172" s="18" t="s">
        <v>34</v>
      </c>
      <c r="X172" s="59"/>
      <c r="Y172" s="72">
        <f t="shared" si="3"/>
        <v>125</v>
      </c>
    </row>
    <row r="173" spans="1:25" s="1" customFormat="1" ht="13.5" customHeight="1">
      <c r="A173" s="19" t="s">
        <v>288</v>
      </c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20" t="s">
        <v>289</v>
      </c>
      <c r="M173" s="20"/>
      <c r="N173" s="20" t="s">
        <v>37</v>
      </c>
      <c r="O173" s="20"/>
      <c r="P173" s="38">
        <f>-1211036.26</f>
        <v>-1211036.26</v>
      </c>
      <c r="Q173" s="38"/>
      <c r="R173" s="38"/>
      <c r="S173" s="21">
        <f>-223370.87</f>
        <v>-223370.87</v>
      </c>
      <c r="T173" s="21"/>
      <c r="U173" s="21"/>
      <c r="V173" s="21"/>
      <c r="W173" s="39">
        <f>-987665.39</f>
        <v>-987665.39</v>
      </c>
      <c r="X173" s="64"/>
      <c r="Y173" s="72">
        <f t="shared" si="3"/>
        <v>18.44460627462963</v>
      </c>
    </row>
    <row r="174" spans="1:25" s="1" customFormat="1" ht="13.5" customHeight="1">
      <c r="A174" s="40" t="s">
        <v>290</v>
      </c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1" t="s">
        <v>11</v>
      </c>
      <c r="M174" s="41"/>
      <c r="N174" s="41" t="s">
        <v>11</v>
      </c>
      <c r="O174" s="41"/>
      <c r="P174" s="42" t="s">
        <v>11</v>
      </c>
      <c r="Q174" s="42"/>
      <c r="R174" s="42"/>
      <c r="S174" s="43" t="s">
        <v>11</v>
      </c>
      <c r="T174" s="43"/>
      <c r="U174" s="43"/>
      <c r="V174" s="43"/>
      <c r="W174" s="44" t="s">
        <v>11</v>
      </c>
      <c r="X174" s="65"/>
      <c r="Y174" s="72" t="e">
        <f t="shared" si="3"/>
        <v>#VALUE!</v>
      </c>
    </row>
    <row r="175" spans="1:25" s="1" customFormat="1" ht="13.5" customHeight="1">
      <c r="A175" s="23" t="s">
        <v>291</v>
      </c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45" t="s">
        <v>292</v>
      </c>
      <c r="M175" s="45"/>
      <c r="N175" s="24" t="s">
        <v>37</v>
      </c>
      <c r="O175" s="24"/>
      <c r="P175" s="46">
        <f aca="true" t="shared" si="4" ref="P175:P180">-1300000</f>
        <v>-1300000</v>
      </c>
      <c r="Q175" s="46"/>
      <c r="R175" s="46"/>
      <c r="S175" s="25">
        <f aca="true" t="shared" si="5" ref="S175:S180">-160000</f>
        <v>-160000</v>
      </c>
      <c r="T175" s="25"/>
      <c r="U175" s="25"/>
      <c r="V175" s="25"/>
      <c r="W175" s="47">
        <f aca="true" t="shared" si="6" ref="W175:W180">-1140000</f>
        <v>-1140000</v>
      </c>
      <c r="X175" s="66"/>
      <c r="Y175" s="72">
        <f t="shared" si="3"/>
        <v>12.307692307692308</v>
      </c>
    </row>
    <row r="176" spans="1:25" s="1" customFormat="1" ht="13.5" customHeight="1">
      <c r="A176" s="29" t="s">
        <v>293</v>
      </c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30" t="s">
        <v>292</v>
      </c>
      <c r="M176" s="30"/>
      <c r="N176" s="30" t="s">
        <v>294</v>
      </c>
      <c r="O176" s="30"/>
      <c r="P176" s="48">
        <f t="shared" si="4"/>
        <v>-1300000</v>
      </c>
      <c r="Q176" s="48"/>
      <c r="R176" s="48"/>
      <c r="S176" s="31">
        <f t="shared" si="5"/>
        <v>-160000</v>
      </c>
      <c r="T176" s="31"/>
      <c r="U176" s="31"/>
      <c r="V176" s="31"/>
      <c r="W176" s="49">
        <f t="shared" si="6"/>
        <v>-1140000</v>
      </c>
      <c r="X176" s="67"/>
      <c r="Y176" s="72">
        <f t="shared" si="3"/>
        <v>12.307692307692308</v>
      </c>
    </row>
    <row r="177" spans="1:25" s="1" customFormat="1" ht="24" customHeight="1">
      <c r="A177" s="29" t="s">
        <v>295</v>
      </c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30" t="s">
        <v>292</v>
      </c>
      <c r="M177" s="30"/>
      <c r="N177" s="30" t="s">
        <v>296</v>
      </c>
      <c r="O177" s="30"/>
      <c r="P177" s="48">
        <f t="shared" si="4"/>
        <v>-1300000</v>
      </c>
      <c r="Q177" s="48"/>
      <c r="R177" s="48"/>
      <c r="S177" s="31">
        <f t="shared" si="5"/>
        <v>-160000</v>
      </c>
      <c r="T177" s="31"/>
      <c r="U177" s="31"/>
      <c r="V177" s="31"/>
      <c r="W177" s="49">
        <f t="shared" si="6"/>
        <v>-1140000</v>
      </c>
      <c r="X177" s="67"/>
      <c r="Y177" s="72">
        <f t="shared" si="3"/>
        <v>12.307692307692308</v>
      </c>
    </row>
    <row r="178" spans="1:25" s="1" customFormat="1" ht="24" customHeight="1">
      <c r="A178" s="29" t="s">
        <v>297</v>
      </c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30" t="s">
        <v>292</v>
      </c>
      <c r="M178" s="30"/>
      <c r="N178" s="30" t="s">
        <v>298</v>
      </c>
      <c r="O178" s="30"/>
      <c r="P178" s="48">
        <f t="shared" si="4"/>
        <v>-1300000</v>
      </c>
      <c r="Q178" s="48"/>
      <c r="R178" s="48"/>
      <c r="S178" s="31">
        <f t="shared" si="5"/>
        <v>-160000</v>
      </c>
      <c r="T178" s="31"/>
      <c r="U178" s="31"/>
      <c r="V178" s="31"/>
      <c r="W178" s="49">
        <f t="shared" si="6"/>
        <v>-1140000</v>
      </c>
      <c r="X178" s="67"/>
      <c r="Y178" s="72">
        <f t="shared" si="3"/>
        <v>12.307692307692308</v>
      </c>
    </row>
    <row r="179" spans="1:25" s="1" customFormat="1" ht="24" customHeight="1">
      <c r="A179" s="29" t="s">
        <v>299</v>
      </c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30" t="s">
        <v>292</v>
      </c>
      <c r="M179" s="30"/>
      <c r="N179" s="30" t="s">
        <v>300</v>
      </c>
      <c r="O179" s="30"/>
      <c r="P179" s="48">
        <f t="shared" si="4"/>
        <v>-1300000</v>
      </c>
      <c r="Q179" s="48"/>
      <c r="R179" s="48"/>
      <c r="S179" s="31">
        <f t="shared" si="5"/>
        <v>-160000</v>
      </c>
      <c r="T179" s="31"/>
      <c r="U179" s="31"/>
      <c r="V179" s="31"/>
      <c r="W179" s="49">
        <f t="shared" si="6"/>
        <v>-1140000</v>
      </c>
      <c r="X179" s="67"/>
      <c r="Y179" s="72">
        <f t="shared" si="3"/>
        <v>12.307692307692308</v>
      </c>
    </row>
    <row r="180" spans="1:25" s="1" customFormat="1" ht="24" customHeight="1">
      <c r="A180" s="29" t="s">
        <v>301</v>
      </c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30" t="s">
        <v>292</v>
      </c>
      <c r="M180" s="30"/>
      <c r="N180" s="30" t="s">
        <v>302</v>
      </c>
      <c r="O180" s="30"/>
      <c r="P180" s="48">
        <f t="shared" si="4"/>
        <v>-1300000</v>
      </c>
      <c r="Q180" s="48"/>
      <c r="R180" s="48"/>
      <c r="S180" s="31">
        <f t="shared" si="5"/>
        <v>-160000</v>
      </c>
      <c r="T180" s="31"/>
      <c r="U180" s="31"/>
      <c r="V180" s="31"/>
      <c r="W180" s="49">
        <f t="shared" si="6"/>
        <v>-1140000</v>
      </c>
      <c r="X180" s="67"/>
      <c r="Y180" s="72">
        <f t="shared" si="3"/>
        <v>12.307692307692308</v>
      </c>
    </row>
    <row r="181" spans="1:25" s="1" customFormat="1" ht="0.75" customHeight="1">
      <c r="A181" s="50" t="s">
        <v>11</v>
      </c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68"/>
      <c r="Y181" s="72" t="e">
        <f t="shared" si="3"/>
        <v>#DIV/0!</v>
      </c>
    </row>
    <row r="182" spans="1:25" s="1" customFormat="1" ht="13.5" customHeight="1">
      <c r="A182" s="29" t="s">
        <v>303</v>
      </c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41" t="s">
        <v>304</v>
      </c>
      <c r="M182" s="41"/>
      <c r="N182" s="41" t="s">
        <v>37</v>
      </c>
      <c r="O182" s="41"/>
      <c r="P182" s="42" t="s">
        <v>48</v>
      </c>
      <c r="Q182" s="42"/>
      <c r="R182" s="42"/>
      <c r="S182" s="33" t="s">
        <v>48</v>
      </c>
      <c r="T182" s="33"/>
      <c r="U182" s="33"/>
      <c r="V182" s="33"/>
      <c r="W182" s="44" t="s">
        <v>48</v>
      </c>
      <c r="X182" s="65"/>
      <c r="Y182" s="72" t="e">
        <f t="shared" si="3"/>
        <v>#VALUE!</v>
      </c>
    </row>
    <row r="183" spans="1:25" s="1" customFormat="1" ht="13.5" customHeight="1">
      <c r="A183" s="29" t="s">
        <v>11</v>
      </c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30" t="s">
        <v>304</v>
      </c>
      <c r="M183" s="30"/>
      <c r="N183" s="30" t="s">
        <v>11</v>
      </c>
      <c r="O183" s="30"/>
      <c r="P183" s="51" t="s">
        <v>48</v>
      </c>
      <c r="Q183" s="51"/>
      <c r="R183" s="51"/>
      <c r="S183" s="33" t="s">
        <v>48</v>
      </c>
      <c r="T183" s="33"/>
      <c r="U183" s="33"/>
      <c r="V183" s="33"/>
      <c r="W183" s="52" t="s">
        <v>48</v>
      </c>
      <c r="X183" s="69"/>
      <c r="Y183" s="72" t="e">
        <f t="shared" si="3"/>
        <v>#VALUE!</v>
      </c>
    </row>
    <row r="184" spans="1:25" s="1" customFormat="1" ht="13.5" customHeight="1">
      <c r="A184" s="29" t="s">
        <v>305</v>
      </c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30" t="s">
        <v>306</v>
      </c>
      <c r="M184" s="30"/>
      <c r="N184" s="30" t="s">
        <v>307</v>
      </c>
      <c r="O184" s="30"/>
      <c r="P184" s="48">
        <f>88963.74</f>
        <v>88963.74</v>
      </c>
      <c r="Q184" s="48"/>
      <c r="R184" s="48"/>
      <c r="S184" s="31">
        <f>-63370.87</f>
        <v>-63370.87</v>
      </c>
      <c r="T184" s="31"/>
      <c r="U184" s="31"/>
      <c r="V184" s="31"/>
      <c r="W184" s="49">
        <f>152334.61</f>
        <v>152334.61</v>
      </c>
      <c r="X184" s="67"/>
      <c r="Y184" s="72">
        <f t="shared" si="3"/>
        <v>-71.23224585657033</v>
      </c>
    </row>
    <row r="185" spans="1:25" s="1" customFormat="1" ht="13.5" customHeight="1">
      <c r="A185" s="29" t="s">
        <v>308</v>
      </c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30" t="s">
        <v>309</v>
      </c>
      <c r="M185" s="30"/>
      <c r="N185" s="30" t="s">
        <v>310</v>
      </c>
      <c r="O185" s="30"/>
      <c r="P185" s="48">
        <f>-22378821.3</f>
        <v>-22378821.3</v>
      </c>
      <c r="Q185" s="48"/>
      <c r="R185" s="48"/>
      <c r="S185" s="31">
        <f>-9612271.76</f>
        <v>-9612271.76</v>
      </c>
      <c r="T185" s="31"/>
      <c r="U185" s="31"/>
      <c r="V185" s="31"/>
      <c r="W185" s="53" t="s">
        <v>37</v>
      </c>
      <c r="X185" s="70"/>
      <c r="Y185" s="72">
        <f t="shared" si="3"/>
        <v>42.95253816607401</v>
      </c>
    </row>
    <row r="186" spans="1:25" s="1" customFormat="1" ht="13.5" customHeight="1">
      <c r="A186" s="29" t="s">
        <v>311</v>
      </c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30" t="s">
        <v>309</v>
      </c>
      <c r="M186" s="30"/>
      <c r="N186" s="30" t="s">
        <v>312</v>
      </c>
      <c r="O186" s="30"/>
      <c r="P186" s="48">
        <f>-22378821.3</f>
        <v>-22378821.3</v>
      </c>
      <c r="Q186" s="48"/>
      <c r="R186" s="48"/>
      <c r="S186" s="31">
        <f>-9612271.76</f>
        <v>-9612271.76</v>
      </c>
      <c r="T186" s="31"/>
      <c r="U186" s="31"/>
      <c r="V186" s="31"/>
      <c r="W186" s="53" t="s">
        <v>37</v>
      </c>
      <c r="X186" s="70"/>
      <c r="Y186" s="72">
        <f t="shared" si="3"/>
        <v>42.95253816607401</v>
      </c>
    </row>
    <row r="187" spans="1:25" s="1" customFormat="1" ht="13.5" customHeight="1">
      <c r="A187" s="29" t="s">
        <v>313</v>
      </c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30" t="s">
        <v>309</v>
      </c>
      <c r="M187" s="30"/>
      <c r="N187" s="30" t="s">
        <v>314</v>
      </c>
      <c r="O187" s="30"/>
      <c r="P187" s="48">
        <f>-22378821.3</f>
        <v>-22378821.3</v>
      </c>
      <c r="Q187" s="48"/>
      <c r="R187" s="48"/>
      <c r="S187" s="31">
        <f>-9612271.76</f>
        <v>-9612271.76</v>
      </c>
      <c r="T187" s="31"/>
      <c r="U187" s="31"/>
      <c r="V187" s="31"/>
      <c r="W187" s="53" t="s">
        <v>37</v>
      </c>
      <c r="X187" s="70"/>
      <c r="Y187" s="72">
        <f t="shared" si="3"/>
        <v>42.95253816607401</v>
      </c>
    </row>
    <row r="188" spans="1:25" s="1" customFormat="1" ht="13.5" customHeight="1">
      <c r="A188" s="29" t="s">
        <v>315</v>
      </c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30" t="s">
        <v>309</v>
      </c>
      <c r="M188" s="30"/>
      <c r="N188" s="30" t="s">
        <v>316</v>
      </c>
      <c r="O188" s="30"/>
      <c r="P188" s="48">
        <f>-22378821.3</f>
        <v>-22378821.3</v>
      </c>
      <c r="Q188" s="48"/>
      <c r="R188" s="48"/>
      <c r="S188" s="31">
        <f>-9612271.76</f>
        <v>-9612271.76</v>
      </c>
      <c r="T188" s="31"/>
      <c r="U188" s="31"/>
      <c r="V188" s="31"/>
      <c r="W188" s="53" t="s">
        <v>37</v>
      </c>
      <c r="X188" s="70"/>
      <c r="Y188" s="72">
        <f t="shared" si="3"/>
        <v>42.95253816607401</v>
      </c>
    </row>
    <row r="189" spans="1:25" s="1" customFormat="1" ht="13.5" customHeight="1">
      <c r="A189" s="29" t="s">
        <v>317</v>
      </c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30" t="s">
        <v>318</v>
      </c>
      <c r="M189" s="30"/>
      <c r="N189" s="30" t="s">
        <v>319</v>
      </c>
      <c r="O189" s="30"/>
      <c r="P189" s="48">
        <f>22467785.04</f>
        <v>22467785.04</v>
      </c>
      <c r="Q189" s="48"/>
      <c r="R189" s="48"/>
      <c r="S189" s="31">
        <f>9548900.89</f>
        <v>9548900.89</v>
      </c>
      <c r="T189" s="31"/>
      <c r="U189" s="31"/>
      <c r="V189" s="31"/>
      <c r="W189" s="53" t="s">
        <v>37</v>
      </c>
      <c r="X189" s="70"/>
      <c r="Y189" s="72">
        <f t="shared" si="3"/>
        <v>42.50041057896823</v>
      </c>
    </row>
    <row r="190" spans="1:25" s="1" customFormat="1" ht="13.5" customHeight="1">
      <c r="A190" s="29" t="s">
        <v>320</v>
      </c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30" t="s">
        <v>318</v>
      </c>
      <c r="M190" s="30"/>
      <c r="N190" s="30" t="s">
        <v>321</v>
      </c>
      <c r="O190" s="30"/>
      <c r="P190" s="48">
        <f>22467785.04</f>
        <v>22467785.04</v>
      </c>
      <c r="Q190" s="48"/>
      <c r="R190" s="48"/>
      <c r="S190" s="31">
        <f>9548900.89</f>
        <v>9548900.89</v>
      </c>
      <c r="T190" s="31"/>
      <c r="U190" s="31"/>
      <c r="V190" s="31"/>
      <c r="W190" s="53" t="s">
        <v>37</v>
      </c>
      <c r="X190" s="70"/>
      <c r="Y190" s="72">
        <f t="shared" si="3"/>
        <v>42.50041057896823</v>
      </c>
    </row>
    <row r="191" spans="1:25" s="1" customFormat="1" ht="13.5" customHeight="1">
      <c r="A191" s="29" t="s">
        <v>322</v>
      </c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30" t="s">
        <v>318</v>
      </c>
      <c r="M191" s="30"/>
      <c r="N191" s="30" t="s">
        <v>323</v>
      </c>
      <c r="O191" s="30"/>
      <c r="P191" s="48">
        <f>22467785.04</f>
        <v>22467785.04</v>
      </c>
      <c r="Q191" s="48"/>
      <c r="R191" s="48"/>
      <c r="S191" s="31">
        <f>9548900.89</f>
        <v>9548900.89</v>
      </c>
      <c r="T191" s="31"/>
      <c r="U191" s="31"/>
      <c r="V191" s="31"/>
      <c r="W191" s="53" t="s">
        <v>37</v>
      </c>
      <c r="X191" s="70"/>
      <c r="Y191" s="72">
        <f t="shared" si="3"/>
        <v>42.50041057896823</v>
      </c>
    </row>
    <row r="192" spans="1:25" s="1" customFormat="1" ht="13.5" customHeight="1">
      <c r="A192" s="29" t="s">
        <v>324</v>
      </c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30" t="s">
        <v>318</v>
      </c>
      <c r="M192" s="30"/>
      <c r="N192" s="30" t="s">
        <v>325</v>
      </c>
      <c r="O192" s="30"/>
      <c r="P192" s="48">
        <f>22467785.04</f>
        <v>22467785.04</v>
      </c>
      <c r="Q192" s="48"/>
      <c r="R192" s="48"/>
      <c r="S192" s="31">
        <f>9548900.89</f>
        <v>9548900.89</v>
      </c>
      <c r="T192" s="31"/>
      <c r="U192" s="31"/>
      <c r="V192" s="31"/>
      <c r="W192" s="53" t="s">
        <v>37</v>
      </c>
      <c r="X192" s="70"/>
      <c r="Y192" s="72">
        <f t="shared" si="3"/>
        <v>42.50041057896823</v>
      </c>
    </row>
    <row r="193" spans="1:24" s="1" customFormat="1" ht="13.5" customHeight="1">
      <c r="A193" s="55" t="s">
        <v>11</v>
      </c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</row>
    <row r="194" spans="1:24" s="1" customFormat="1" ht="24" customHeight="1">
      <c r="A194" s="7" t="s">
        <v>326</v>
      </c>
      <c r="B194" s="7"/>
      <c r="C194" s="7"/>
      <c r="D194" s="7"/>
      <c r="E194" s="7"/>
      <c r="F194" s="7"/>
      <c r="G194" s="7"/>
      <c r="H194" s="7"/>
      <c r="I194" s="54" t="s">
        <v>11</v>
      </c>
      <c r="J194" s="54"/>
      <c r="K194" s="54"/>
      <c r="L194" s="54"/>
      <c r="M194" s="54"/>
      <c r="N194" s="54" t="s">
        <v>327</v>
      </c>
      <c r="O194" s="54"/>
      <c r="P194" s="54"/>
      <c r="Q194" s="54"/>
      <c r="R194" s="7" t="s">
        <v>11</v>
      </c>
      <c r="S194" s="7"/>
      <c r="T194" s="7"/>
      <c r="U194" s="7"/>
      <c r="V194" s="7"/>
      <c r="W194" s="7"/>
      <c r="X194" s="7"/>
    </row>
    <row r="195" spans="1:24" s="1" customFormat="1" ht="13.5" customHeight="1">
      <c r="A195" s="7" t="s">
        <v>11</v>
      </c>
      <c r="B195" s="7"/>
      <c r="C195" s="7"/>
      <c r="D195" s="7"/>
      <c r="E195" s="7"/>
      <c r="F195" s="7"/>
      <c r="G195" s="7"/>
      <c r="H195" s="7"/>
      <c r="I195" s="10" t="s">
        <v>11</v>
      </c>
      <c r="J195" s="56" t="s">
        <v>328</v>
      </c>
      <c r="K195" s="56"/>
      <c r="L195" s="56"/>
      <c r="M195" s="10" t="s">
        <v>11</v>
      </c>
      <c r="N195" s="10" t="s">
        <v>11</v>
      </c>
      <c r="O195" s="56" t="s">
        <v>329</v>
      </c>
      <c r="P195" s="56"/>
      <c r="Q195" s="7" t="s">
        <v>11</v>
      </c>
      <c r="R195" s="7"/>
      <c r="S195" s="7"/>
      <c r="T195" s="7"/>
      <c r="U195" s="7"/>
      <c r="V195" s="7"/>
      <c r="W195" s="7"/>
      <c r="X195" s="7"/>
    </row>
    <row r="196" spans="1:24" s="1" customFormat="1" ht="7.5" customHeight="1">
      <c r="A196" s="7" t="s">
        <v>11</v>
      </c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</row>
    <row r="197" spans="1:24" s="1" customFormat="1" ht="13.5" customHeight="1">
      <c r="A197" s="7" t="s">
        <v>330</v>
      </c>
      <c r="B197" s="7"/>
      <c r="C197" s="7"/>
      <c r="D197" s="7"/>
      <c r="E197" s="7"/>
      <c r="F197" s="7"/>
      <c r="G197" s="7"/>
      <c r="H197" s="7"/>
      <c r="I197" s="54" t="s">
        <v>11</v>
      </c>
      <c r="J197" s="54"/>
      <c r="K197" s="54"/>
      <c r="L197" s="54"/>
      <c r="M197" s="54"/>
      <c r="N197" s="54" t="s">
        <v>331</v>
      </c>
      <c r="O197" s="54"/>
      <c r="P197" s="54"/>
      <c r="Q197" s="54"/>
      <c r="R197" s="7" t="s">
        <v>11</v>
      </c>
      <c r="S197" s="7"/>
      <c r="T197" s="7"/>
      <c r="U197" s="7"/>
      <c r="V197" s="7"/>
      <c r="W197" s="7"/>
      <c r="X197" s="7"/>
    </row>
    <row r="198" spans="1:24" s="1" customFormat="1" ht="13.5" customHeight="1">
      <c r="A198" s="7" t="s">
        <v>11</v>
      </c>
      <c r="B198" s="7"/>
      <c r="C198" s="7"/>
      <c r="D198" s="7"/>
      <c r="E198" s="7"/>
      <c r="F198" s="7"/>
      <c r="G198" s="7"/>
      <c r="H198" s="7"/>
      <c r="I198" s="10" t="s">
        <v>11</v>
      </c>
      <c r="J198" s="56" t="s">
        <v>328</v>
      </c>
      <c r="K198" s="56"/>
      <c r="L198" s="56"/>
      <c r="M198" s="10" t="s">
        <v>11</v>
      </c>
      <c r="N198" s="10" t="s">
        <v>11</v>
      </c>
      <c r="O198" s="56" t="s">
        <v>329</v>
      </c>
      <c r="P198" s="56"/>
      <c r="Q198" s="7" t="s">
        <v>11</v>
      </c>
      <c r="R198" s="7"/>
      <c r="S198" s="7"/>
      <c r="T198" s="7"/>
      <c r="U198" s="7"/>
      <c r="V198" s="7"/>
      <c r="W198" s="7"/>
      <c r="X198" s="7"/>
    </row>
    <row r="199" spans="1:24" s="1" customFormat="1" ht="7.5" customHeight="1">
      <c r="A199" s="7" t="s">
        <v>11</v>
      </c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</row>
    <row r="200" spans="1:24" s="1" customFormat="1" ht="13.5" customHeight="1">
      <c r="A200" s="7" t="s">
        <v>332</v>
      </c>
      <c r="B200" s="7"/>
      <c r="C200" s="54" t="s">
        <v>333</v>
      </c>
      <c r="D200" s="54"/>
      <c r="E200" s="54"/>
      <c r="F200" s="54"/>
      <c r="G200" s="54"/>
      <c r="H200" s="54"/>
      <c r="I200" s="54" t="s">
        <v>11</v>
      </c>
      <c r="J200" s="54"/>
      <c r="K200" s="54"/>
      <c r="L200" s="54"/>
      <c r="M200" s="54"/>
      <c r="N200" s="54" t="s">
        <v>334</v>
      </c>
      <c r="O200" s="54"/>
      <c r="P200" s="54"/>
      <c r="Q200" s="54"/>
      <c r="R200" s="7" t="s">
        <v>11</v>
      </c>
      <c r="S200" s="7"/>
      <c r="T200" s="7"/>
      <c r="U200" s="7"/>
      <c r="V200" s="7"/>
      <c r="W200" s="7"/>
      <c r="X200" s="7"/>
    </row>
    <row r="201" spans="1:24" s="1" customFormat="1" ht="13.5" customHeight="1">
      <c r="A201" s="7" t="s">
        <v>11</v>
      </c>
      <c r="B201" s="7"/>
      <c r="C201" s="10" t="s">
        <v>11</v>
      </c>
      <c r="D201" s="56" t="s">
        <v>335</v>
      </c>
      <c r="E201" s="56"/>
      <c r="F201" s="56"/>
      <c r="G201" s="56"/>
      <c r="H201" s="10" t="s">
        <v>11</v>
      </c>
      <c r="I201" s="10" t="s">
        <v>11</v>
      </c>
      <c r="J201" s="56" t="s">
        <v>328</v>
      </c>
      <c r="K201" s="56"/>
      <c r="L201" s="56"/>
      <c r="M201" s="10" t="s">
        <v>11</v>
      </c>
      <c r="N201" s="10" t="s">
        <v>11</v>
      </c>
      <c r="O201" s="56" t="s">
        <v>329</v>
      </c>
      <c r="P201" s="56"/>
      <c r="Q201" s="7" t="s">
        <v>11</v>
      </c>
      <c r="R201" s="7"/>
      <c r="S201" s="7"/>
      <c r="T201" s="7"/>
      <c r="U201" s="7"/>
      <c r="V201" s="7"/>
      <c r="W201" s="7"/>
      <c r="X201" s="7"/>
    </row>
    <row r="202" spans="1:24" s="1" customFormat="1" ht="15.75" customHeight="1">
      <c r="A202" s="7" t="s">
        <v>11</v>
      </c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</row>
    <row r="203" spans="1:24" s="1" customFormat="1" ht="13.5" customHeight="1">
      <c r="A203" s="57" t="s">
        <v>336</v>
      </c>
      <c r="B203" s="57"/>
      <c r="C203" s="57"/>
      <c r="D203" s="57"/>
      <c r="E203" s="57"/>
      <c r="F203" s="57"/>
      <c r="G203" s="57"/>
      <c r="H203" s="57"/>
      <c r="I203" s="57"/>
      <c r="J203" s="57"/>
      <c r="K203" s="7" t="s">
        <v>11</v>
      </c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</row>
    <row r="204" spans="1:24" s="1" customFormat="1" ht="13.5" customHeight="1">
      <c r="A204" s="4" t="s">
        <v>337</v>
      </c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</row>
  </sheetData>
  <sheetProtection/>
  <mergeCells count="1122">
    <mergeCell ref="A203:J203"/>
    <mergeCell ref="K203:X203"/>
    <mergeCell ref="A204:X204"/>
    <mergeCell ref="A201:B201"/>
    <mergeCell ref="D201:G201"/>
    <mergeCell ref="J201:L201"/>
    <mergeCell ref="O201:P201"/>
    <mergeCell ref="Q201:X201"/>
    <mergeCell ref="A202:X202"/>
    <mergeCell ref="A199:X199"/>
    <mergeCell ref="A200:B200"/>
    <mergeCell ref="C200:H200"/>
    <mergeCell ref="I200:M200"/>
    <mergeCell ref="N200:Q200"/>
    <mergeCell ref="R200:X200"/>
    <mergeCell ref="A196:X196"/>
    <mergeCell ref="A197:H197"/>
    <mergeCell ref="I197:M197"/>
    <mergeCell ref="N197:Q197"/>
    <mergeCell ref="R197:X197"/>
    <mergeCell ref="A198:H198"/>
    <mergeCell ref="J198:L198"/>
    <mergeCell ref="O198:P198"/>
    <mergeCell ref="Q198:X198"/>
    <mergeCell ref="A193:X193"/>
    <mergeCell ref="A194:H194"/>
    <mergeCell ref="I194:M194"/>
    <mergeCell ref="N194:Q194"/>
    <mergeCell ref="R194:X194"/>
    <mergeCell ref="A195:H195"/>
    <mergeCell ref="J195:L195"/>
    <mergeCell ref="O195:P195"/>
    <mergeCell ref="Q195:X195"/>
    <mergeCell ref="A192:K192"/>
    <mergeCell ref="L192:M192"/>
    <mergeCell ref="N192:O192"/>
    <mergeCell ref="P192:R192"/>
    <mergeCell ref="S192:V192"/>
    <mergeCell ref="W192:X192"/>
    <mergeCell ref="A191:K191"/>
    <mergeCell ref="L191:M191"/>
    <mergeCell ref="N191:O191"/>
    <mergeCell ref="P191:R191"/>
    <mergeCell ref="S191:V191"/>
    <mergeCell ref="W191:X191"/>
    <mergeCell ref="A190:K190"/>
    <mergeCell ref="L190:M190"/>
    <mergeCell ref="N190:O190"/>
    <mergeCell ref="P190:R190"/>
    <mergeCell ref="S190:V190"/>
    <mergeCell ref="W190:X190"/>
    <mergeCell ref="A189:K189"/>
    <mergeCell ref="L189:M189"/>
    <mergeCell ref="N189:O189"/>
    <mergeCell ref="P189:R189"/>
    <mergeCell ref="S189:V189"/>
    <mergeCell ref="W189:X189"/>
    <mergeCell ref="A188:K188"/>
    <mergeCell ref="L188:M188"/>
    <mergeCell ref="N188:O188"/>
    <mergeCell ref="P188:R188"/>
    <mergeCell ref="S188:V188"/>
    <mergeCell ref="W188:X188"/>
    <mergeCell ref="A187:K187"/>
    <mergeCell ref="L187:M187"/>
    <mergeCell ref="N187:O187"/>
    <mergeCell ref="P187:R187"/>
    <mergeCell ref="S187:V187"/>
    <mergeCell ref="W187:X187"/>
    <mergeCell ref="A186:K186"/>
    <mergeCell ref="L186:M186"/>
    <mergeCell ref="N186:O186"/>
    <mergeCell ref="P186:R186"/>
    <mergeCell ref="S186:V186"/>
    <mergeCell ref="W186:X186"/>
    <mergeCell ref="A185:K185"/>
    <mergeCell ref="L185:M185"/>
    <mergeCell ref="N185:O185"/>
    <mergeCell ref="P185:R185"/>
    <mergeCell ref="S185:V185"/>
    <mergeCell ref="W185:X185"/>
    <mergeCell ref="A184:K184"/>
    <mergeCell ref="L184:M184"/>
    <mergeCell ref="N184:O184"/>
    <mergeCell ref="P184:R184"/>
    <mergeCell ref="S184:V184"/>
    <mergeCell ref="W184:X184"/>
    <mergeCell ref="A183:K183"/>
    <mergeCell ref="L183:M183"/>
    <mergeCell ref="N183:O183"/>
    <mergeCell ref="P183:R183"/>
    <mergeCell ref="S183:V183"/>
    <mergeCell ref="W183:X183"/>
    <mergeCell ref="A181:X181"/>
    <mergeCell ref="A182:K182"/>
    <mergeCell ref="L182:M182"/>
    <mergeCell ref="N182:O182"/>
    <mergeCell ref="P182:R182"/>
    <mergeCell ref="S182:V182"/>
    <mergeCell ref="W182:X182"/>
    <mergeCell ref="A180:K180"/>
    <mergeCell ref="L180:M180"/>
    <mergeCell ref="N180:O180"/>
    <mergeCell ref="P180:R180"/>
    <mergeCell ref="S180:V180"/>
    <mergeCell ref="W180:X180"/>
    <mergeCell ref="A179:K179"/>
    <mergeCell ref="L179:M179"/>
    <mergeCell ref="N179:O179"/>
    <mergeCell ref="P179:R179"/>
    <mergeCell ref="S179:V179"/>
    <mergeCell ref="W179:X179"/>
    <mergeCell ref="A178:K178"/>
    <mergeCell ref="L178:M178"/>
    <mergeCell ref="N178:O178"/>
    <mergeCell ref="P178:R178"/>
    <mergeCell ref="S178:V178"/>
    <mergeCell ref="W178:X178"/>
    <mergeCell ref="A177:K177"/>
    <mergeCell ref="L177:M177"/>
    <mergeCell ref="N177:O177"/>
    <mergeCell ref="P177:R177"/>
    <mergeCell ref="S177:V177"/>
    <mergeCell ref="W177:X177"/>
    <mergeCell ref="A176:K176"/>
    <mergeCell ref="L176:M176"/>
    <mergeCell ref="N176:O176"/>
    <mergeCell ref="P176:R176"/>
    <mergeCell ref="S176:V176"/>
    <mergeCell ref="W176:X176"/>
    <mergeCell ref="A175:K175"/>
    <mergeCell ref="L175:M175"/>
    <mergeCell ref="N175:O175"/>
    <mergeCell ref="P175:R175"/>
    <mergeCell ref="S175:V175"/>
    <mergeCell ref="W175:X175"/>
    <mergeCell ref="A174:K174"/>
    <mergeCell ref="L174:M174"/>
    <mergeCell ref="N174:O174"/>
    <mergeCell ref="P174:R174"/>
    <mergeCell ref="S174:V174"/>
    <mergeCell ref="W174:X174"/>
    <mergeCell ref="A173:K173"/>
    <mergeCell ref="L173:M173"/>
    <mergeCell ref="N173:O173"/>
    <mergeCell ref="P173:R173"/>
    <mergeCell ref="S173:V173"/>
    <mergeCell ref="W173:X173"/>
    <mergeCell ref="A172:K172"/>
    <mergeCell ref="L172:M172"/>
    <mergeCell ref="N172:O172"/>
    <mergeCell ref="P172:R172"/>
    <mergeCell ref="S172:V172"/>
    <mergeCell ref="W172:X172"/>
    <mergeCell ref="A169:X169"/>
    <mergeCell ref="A170:X170"/>
    <mergeCell ref="A171:K171"/>
    <mergeCell ref="L171:M171"/>
    <mergeCell ref="N171:O171"/>
    <mergeCell ref="P171:R171"/>
    <mergeCell ref="S171:V171"/>
    <mergeCell ref="W171:X171"/>
    <mergeCell ref="A168:K168"/>
    <mergeCell ref="L168:M168"/>
    <mergeCell ref="N168:O168"/>
    <mergeCell ref="P168:R168"/>
    <mergeCell ref="S168:V168"/>
    <mergeCell ref="W168:X168"/>
    <mergeCell ref="A167:K167"/>
    <mergeCell ref="L167:M167"/>
    <mergeCell ref="N167:O167"/>
    <mergeCell ref="P167:R167"/>
    <mergeCell ref="S167:V167"/>
    <mergeCell ref="W167:X167"/>
    <mergeCell ref="A166:K166"/>
    <mergeCell ref="L166:M166"/>
    <mergeCell ref="N166:O166"/>
    <mergeCell ref="P166:R166"/>
    <mergeCell ref="S166:V166"/>
    <mergeCell ref="W166:X166"/>
    <mergeCell ref="A165:K165"/>
    <mergeCell ref="L165:M165"/>
    <mergeCell ref="N165:O165"/>
    <mergeCell ref="P165:R165"/>
    <mergeCell ref="S165:V165"/>
    <mergeCell ref="W165:X165"/>
    <mergeCell ref="A164:K164"/>
    <mergeCell ref="L164:M164"/>
    <mergeCell ref="N164:O164"/>
    <mergeCell ref="P164:R164"/>
    <mergeCell ref="S164:V164"/>
    <mergeCell ref="W164:X164"/>
    <mergeCell ref="A163:K163"/>
    <mergeCell ref="L163:M163"/>
    <mergeCell ref="N163:O163"/>
    <mergeCell ref="P163:R163"/>
    <mergeCell ref="S163:V163"/>
    <mergeCell ref="W163:X163"/>
    <mergeCell ref="A162:K162"/>
    <mergeCell ref="L162:M162"/>
    <mergeCell ref="N162:O162"/>
    <mergeCell ref="P162:R162"/>
    <mergeCell ref="S162:V162"/>
    <mergeCell ref="W162:X162"/>
    <mergeCell ref="A161:K161"/>
    <mergeCell ref="L161:M161"/>
    <mergeCell ref="N161:O161"/>
    <mergeCell ref="P161:R161"/>
    <mergeCell ref="S161:V161"/>
    <mergeCell ref="W161:X161"/>
    <mergeCell ref="A160:K160"/>
    <mergeCell ref="L160:M160"/>
    <mergeCell ref="N160:O160"/>
    <mergeCell ref="P160:R160"/>
    <mergeCell ref="S160:V160"/>
    <mergeCell ref="W160:X160"/>
    <mergeCell ref="A159:K159"/>
    <mergeCell ref="L159:M159"/>
    <mergeCell ref="N159:O159"/>
    <mergeCell ref="P159:R159"/>
    <mergeCell ref="S159:V159"/>
    <mergeCell ref="W159:X159"/>
    <mergeCell ref="A158:K158"/>
    <mergeCell ref="L158:M158"/>
    <mergeCell ref="N158:O158"/>
    <mergeCell ref="P158:R158"/>
    <mergeCell ref="S158:V158"/>
    <mergeCell ref="W158:X158"/>
    <mergeCell ref="A157:K157"/>
    <mergeCell ref="L157:M157"/>
    <mergeCell ref="N157:O157"/>
    <mergeCell ref="P157:R157"/>
    <mergeCell ref="S157:V157"/>
    <mergeCell ref="W157:X157"/>
    <mergeCell ref="A156:K156"/>
    <mergeCell ref="L156:M156"/>
    <mergeCell ref="N156:O156"/>
    <mergeCell ref="P156:R156"/>
    <mergeCell ref="S156:V156"/>
    <mergeCell ref="W156:X156"/>
    <mergeCell ref="A155:K155"/>
    <mergeCell ref="L155:M155"/>
    <mergeCell ref="N155:O155"/>
    <mergeCell ref="P155:R155"/>
    <mergeCell ref="S155:V155"/>
    <mergeCell ref="W155:X155"/>
    <mergeCell ref="A154:K154"/>
    <mergeCell ref="L154:M154"/>
    <mergeCell ref="N154:O154"/>
    <mergeCell ref="P154:R154"/>
    <mergeCell ref="S154:V154"/>
    <mergeCell ref="W154:X154"/>
    <mergeCell ref="A153:K153"/>
    <mergeCell ref="L153:M153"/>
    <mergeCell ref="N153:O153"/>
    <mergeCell ref="P153:R153"/>
    <mergeCell ref="S153:V153"/>
    <mergeCell ref="W153:X153"/>
    <mergeCell ref="A152:K152"/>
    <mergeCell ref="L152:M152"/>
    <mergeCell ref="N152:O152"/>
    <mergeCell ref="P152:R152"/>
    <mergeCell ref="S152:V152"/>
    <mergeCell ref="W152:X152"/>
    <mergeCell ref="A151:K151"/>
    <mergeCell ref="L151:M151"/>
    <mergeCell ref="N151:O151"/>
    <mergeCell ref="P151:R151"/>
    <mergeCell ref="S151:V151"/>
    <mergeCell ref="W151:X151"/>
    <mergeCell ref="A150:K150"/>
    <mergeCell ref="L150:M150"/>
    <mergeCell ref="N150:O150"/>
    <mergeCell ref="P150:R150"/>
    <mergeCell ref="S150:V150"/>
    <mergeCell ref="W150:X150"/>
    <mergeCell ref="A149:K149"/>
    <mergeCell ref="L149:M149"/>
    <mergeCell ref="N149:O149"/>
    <mergeCell ref="P149:R149"/>
    <mergeCell ref="S149:V149"/>
    <mergeCell ref="W149:X149"/>
    <mergeCell ref="A148:K148"/>
    <mergeCell ref="L148:M148"/>
    <mergeCell ref="N148:O148"/>
    <mergeCell ref="P148:R148"/>
    <mergeCell ref="S148:V148"/>
    <mergeCell ref="W148:X148"/>
    <mergeCell ref="A147:K147"/>
    <mergeCell ref="L147:M147"/>
    <mergeCell ref="N147:O147"/>
    <mergeCell ref="P147:R147"/>
    <mergeCell ref="S147:V147"/>
    <mergeCell ref="W147:X147"/>
    <mergeCell ref="A146:K146"/>
    <mergeCell ref="L146:M146"/>
    <mergeCell ref="N146:O146"/>
    <mergeCell ref="P146:R146"/>
    <mergeCell ref="S146:V146"/>
    <mergeCell ref="W146:X146"/>
    <mergeCell ref="A145:K145"/>
    <mergeCell ref="L145:M145"/>
    <mergeCell ref="N145:O145"/>
    <mergeCell ref="P145:R145"/>
    <mergeCell ref="S145:V145"/>
    <mergeCell ref="W145:X145"/>
    <mergeCell ref="A144:K144"/>
    <mergeCell ref="L144:M144"/>
    <mergeCell ref="N144:O144"/>
    <mergeCell ref="P144:R144"/>
    <mergeCell ref="S144:V144"/>
    <mergeCell ref="W144:X144"/>
    <mergeCell ref="A143:K143"/>
    <mergeCell ref="L143:M143"/>
    <mergeCell ref="N143:O143"/>
    <mergeCell ref="P143:R143"/>
    <mergeCell ref="S143:V143"/>
    <mergeCell ref="W143:X143"/>
    <mergeCell ref="A142:K142"/>
    <mergeCell ref="L142:M142"/>
    <mergeCell ref="N142:O142"/>
    <mergeCell ref="P142:R142"/>
    <mergeCell ref="S142:V142"/>
    <mergeCell ref="W142:X142"/>
    <mergeCell ref="A141:K141"/>
    <mergeCell ref="L141:M141"/>
    <mergeCell ref="N141:O141"/>
    <mergeCell ref="P141:R141"/>
    <mergeCell ref="S141:V141"/>
    <mergeCell ref="W141:X141"/>
    <mergeCell ref="A140:K140"/>
    <mergeCell ref="L140:M140"/>
    <mergeCell ref="N140:O140"/>
    <mergeCell ref="P140:R140"/>
    <mergeCell ref="S140:V140"/>
    <mergeCell ref="W140:X140"/>
    <mergeCell ref="A139:K139"/>
    <mergeCell ref="L139:M139"/>
    <mergeCell ref="N139:O139"/>
    <mergeCell ref="P139:R139"/>
    <mergeCell ref="S139:V139"/>
    <mergeCell ref="W139:X139"/>
    <mergeCell ref="A138:K138"/>
    <mergeCell ref="L138:M138"/>
    <mergeCell ref="N138:O138"/>
    <mergeCell ref="P138:R138"/>
    <mergeCell ref="S138:V138"/>
    <mergeCell ref="W138:X138"/>
    <mergeCell ref="A137:K137"/>
    <mergeCell ref="L137:M137"/>
    <mergeCell ref="N137:O137"/>
    <mergeCell ref="P137:R137"/>
    <mergeCell ref="S137:V137"/>
    <mergeCell ref="W137:X137"/>
    <mergeCell ref="A136:K136"/>
    <mergeCell ref="L136:M136"/>
    <mergeCell ref="N136:O136"/>
    <mergeCell ref="P136:R136"/>
    <mergeCell ref="S136:V136"/>
    <mergeCell ref="W136:X136"/>
    <mergeCell ref="A135:K135"/>
    <mergeCell ref="L135:M135"/>
    <mergeCell ref="N135:O135"/>
    <mergeCell ref="P135:R135"/>
    <mergeCell ref="S135:V135"/>
    <mergeCell ref="W135:X135"/>
    <mergeCell ref="A134:K134"/>
    <mergeCell ref="L134:M134"/>
    <mergeCell ref="N134:O134"/>
    <mergeCell ref="P134:R134"/>
    <mergeCell ref="S134:V134"/>
    <mergeCell ref="W134:X134"/>
    <mergeCell ref="A133:K133"/>
    <mergeCell ref="L133:M133"/>
    <mergeCell ref="N133:O133"/>
    <mergeCell ref="P133:R133"/>
    <mergeCell ref="S133:V133"/>
    <mergeCell ref="W133:X133"/>
    <mergeCell ref="A132:K132"/>
    <mergeCell ref="L132:M132"/>
    <mergeCell ref="N132:O132"/>
    <mergeCell ref="P132:R132"/>
    <mergeCell ref="S132:V132"/>
    <mergeCell ref="W132:X132"/>
    <mergeCell ref="A131:K131"/>
    <mergeCell ref="L131:M131"/>
    <mergeCell ref="N131:O131"/>
    <mergeCell ref="P131:R131"/>
    <mergeCell ref="S131:V131"/>
    <mergeCell ref="W131:X131"/>
    <mergeCell ref="A130:K130"/>
    <mergeCell ref="L130:M130"/>
    <mergeCell ref="N130:O130"/>
    <mergeCell ref="P130:R130"/>
    <mergeCell ref="S130:V130"/>
    <mergeCell ref="W130:X130"/>
    <mergeCell ref="A129:K129"/>
    <mergeCell ref="L129:M129"/>
    <mergeCell ref="N129:O129"/>
    <mergeCell ref="P129:R129"/>
    <mergeCell ref="S129:V129"/>
    <mergeCell ref="W129:X129"/>
    <mergeCell ref="A128:K128"/>
    <mergeCell ref="L128:M128"/>
    <mergeCell ref="N128:O128"/>
    <mergeCell ref="P128:R128"/>
    <mergeCell ref="S128:V128"/>
    <mergeCell ref="W128:X128"/>
    <mergeCell ref="A127:K127"/>
    <mergeCell ref="L127:M127"/>
    <mergeCell ref="N127:O127"/>
    <mergeCell ref="P127:R127"/>
    <mergeCell ref="S127:V127"/>
    <mergeCell ref="W127:X127"/>
    <mergeCell ref="A126:K126"/>
    <mergeCell ref="L126:M126"/>
    <mergeCell ref="N126:O126"/>
    <mergeCell ref="P126:R126"/>
    <mergeCell ref="S126:V126"/>
    <mergeCell ref="W126:X126"/>
    <mergeCell ref="A125:K125"/>
    <mergeCell ref="L125:M125"/>
    <mergeCell ref="N125:O125"/>
    <mergeCell ref="P125:R125"/>
    <mergeCell ref="S125:V125"/>
    <mergeCell ref="W125:X125"/>
    <mergeCell ref="A124:K124"/>
    <mergeCell ref="L124:M124"/>
    <mergeCell ref="N124:O124"/>
    <mergeCell ref="P124:R124"/>
    <mergeCell ref="S124:V124"/>
    <mergeCell ref="W124:X124"/>
    <mergeCell ref="A123:K123"/>
    <mergeCell ref="L123:M123"/>
    <mergeCell ref="N123:O123"/>
    <mergeCell ref="P123:R123"/>
    <mergeCell ref="S123:V123"/>
    <mergeCell ref="W123:X123"/>
    <mergeCell ref="A122:K122"/>
    <mergeCell ref="L122:M122"/>
    <mergeCell ref="N122:O122"/>
    <mergeCell ref="P122:R122"/>
    <mergeCell ref="S122:V122"/>
    <mergeCell ref="W122:X122"/>
    <mergeCell ref="A121:K121"/>
    <mergeCell ref="L121:M121"/>
    <mergeCell ref="N121:O121"/>
    <mergeCell ref="P121:R121"/>
    <mergeCell ref="S121:V121"/>
    <mergeCell ref="W121:X121"/>
    <mergeCell ref="A120:K120"/>
    <mergeCell ref="L120:M120"/>
    <mergeCell ref="N120:O120"/>
    <mergeCell ref="P120:R120"/>
    <mergeCell ref="S120:V120"/>
    <mergeCell ref="W120:X120"/>
    <mergeCell ref="A119:K119"/>
    <mergeCell ref="L119:M119"/>
    <mergeCell ref="N119:O119"/>
    <mergeCell ref="P119:R119"/>
    <mergeCell ref="S119:V119"/>
    <mergeCell ref="W119:X119"/>
    <mergeCell ref="A118:K118"/>
    <mergeCell ref="L118:M118"/>
    <mergeCell ref="N118:O118"/>
    <mergeCell ref="P118:R118"/>
    <mergeCell ref="S118:V118"/>
    <mergeCell ref="W118:X118"/>
    <mergeCell ref="A117:K117"/>
    <mergeCell ref="L117:M117"/>
    <mergeCell ref="N117:O117"/>
    <mergeCell ref="P117:R117"/>
    <mergeCell ref="S117:V117"/>
    <mergeCell ref="W117:X117"/>
    <mergeCell ref="A116:K116"/>
    <mergeCell ref="L116:M116"/>
    <mergeCell ref="N116:O116"/>
    <mergeCell ref="P116:R116"/>
    <mergeCell ref="S116:V116"/>
    <mergeCell ref="W116:X116"/>
    <mergeCell ref="A115:K115"/>
    <mergeCell ref="L115:M115"/>
    <mergeCell ref="N115:O115"/>
    <mergeCell ref="P115:R115"/>
    <mergeCell ref="S115:V115"/>
    <mergeCell ref="W115:X115"/>
    <mergeCell ref="A114:K114"/>
    <mergeCell ref="L114:M114"/>
    <mergeCell ref="N114:O114"/>
    <mergeCell ref="P114:R114"/>
    <mergeCell ref="S114:V114"/>
    <mergeCell ref="W114:X114"/>
    <mergeCell ref="A113:K113"/>
    <mergeCell ref="L113:M113"/>
    <mergeCell ref="N113:O113"/>
    <mergeCell ref="P113:R113"/>
    <mergeCell ref="S113:V113"/>
    <mergeCell ref="W113:X113"/>
    <mergeCell ref="A112:K112"/>
    <mergeCell ref="L112:M112"/>
    <mergeCell ref="N112:O112"/>
    <mergeCell ref="P112:R112"/>
    <mergeCell ref="S112:V112"/>
    <mergeCell ref="W112:X112"/>
    <mergeCell ref="A111:K111"/>
    <mergeCell ref="L111:M111"/>
    <mergeCell ref="N111:O111"/>
    <mergeCell ref="P111:R111"/>
    <mergeCell ref="S111:V111"/>
    <mergeCell ref="W111:X111"/>
    <mergeCell ref="A110:K110"/>
    <mergeCell ref="L110:M110"/>
    <mergeCell ref="N110:O110"/>
    <mergeCell ref="P110:R110"/>
    <mergeCell ref="S110:V110"/>
    <mergeCell ref="W110:X110"/>
    <mergeCell ref="A109:K109"/>
    <mergeCell ref="L109:M109"/>
    <mergeCell ref="N109:O109"/>
    <mergeCell ref="P109:R109"/>
    <mergeCell ref="S109:V109"/>
    <mergeCell ref="W109:X109"/>
    <mergeCell ref="A108:K108"/>
    <mergeCell ref="L108:M108"/>
    <mergeCell ref="N108:O108"/>
    <mergeCell ref="P108:R108"/>
    <mergeCell ref="S108:V108"/>
    <mergeCell ref="W108:X108"/>
    <mergeCell ref="A107:K107"/>
    <mergeCell ref="L107:M107"/>
    <mergeCell ref="N107:O107"/>
    <mergeCell ref="P107:R107"/>
    <mergeCell ref="S107:V107"/>
    <mergeCell ref="W107:X107"/>
    <mergeCell ref="A106:K106"/>
    <mergeCell ref="L106:M106"/>
    <mergeCell ref="N106:O106"/>
    <mergeCell ref="P106:R106"/>
    <mergeCell ref="S106:V106"/>
    <mergeCell ref="W106:X106"/>
    <mergeCell ref="A105:K105"/>
    <mergeCell ref="L105:M105"/>
    <mergeCell ref="N105:O105"/>
    <mergeCell ref="P105:R105"/>
    <mergeCell ref="S105:V105"/>
    <mergeCell ref="W105:X105"/>
    <mergeCell ref="A104:K104"/>
    <mergeCell ref="L104:M104"/>
    <mergeCell ref="N104:O104"/>
    <mergeCell ref="P104:R104"/>
    <mergeCell ref="S104:V104"/>
    <mergeCell ref="W104:X104"/>
    <mergeCell ref="A103:K103"/>
    <mergeCell ref="L103:M103"/>
    <mergeCell ref="N103:O103"/>
    <mergeCell ref="P103:R103"/>
    <mergeCell ref="S103:V103"/>
    <mergeCell ref="W103:X103"/>
    <mergeCell ref="A102:K102"/>
    <mergeCell ref="L102:M102"/>
    <mergeCell ref="N102:O102"/>
    <mergeCell ref="P102:R102"/>
    <mergeCell ref="S102:V102"/>
    <mergeCell ref="W102:X102"/>
    <mergeCell ref="A101:K101"/>
    <mergeCell ref="L101:M101"/>
    <mergeCell ref="N101:O101"/>
    <mergeCell ref="P101:R101"/>
    <mergeCell ref="S101:V101"/>
    <mergeCell ref="W101:X101"/>
    <mergeCell ref="A100:K100"/>
    <mergeCell ref="L100:M100"/>
    <mergeCell ref="N100:O100"/>
    <mergeCell ref="P100:R100"/>
    <mergeCell ref="S100:V100"/>
    <mergeCell ref="W100:X100"/>
    <mergeCell ref="A99:K99"/>
    <mergeCell ref="L99:M99"/>
    <mergeCell ref="N99:O99"/>
    <mergeCell ref="P99:R99"/>
    <mergeCell ref="S99:V99"/>
    <mergeCell ref="W99:X99"/>
    <mergeCell ref="A98:K98"/>
    <mergeCell ref="L98:M98"/>
    <mergeCell ref="N98:O98"/>
    <mergeCell ref="P98:R98"/>
    <mergeCell ref="S98:V98"/>
    <mergeCell ref="W98:X98"/>
    <mergeCell ref="A97:K97"/>
    <mergeCell ref="L97:M97"/>
    <mergeCell ref="N97:O97"/>
    <mergeCell ref="P97:R97"/>
    <mergeCell ref="S97:V97"/>
    <mergeCell ref="W97:X97"/>
    <mergeCell ref="A96:K96"/>
    <mergeCell ref="L96:M96"/>
    <mergeCell ref="N96:O96"/>
    <mergeCell ref="P96:R96"/>
    <mergeCell ref="S96:V96"/>
    <mergeCell ref="W96:X96"/>
    <mergeCell ref="A95:K95"/>
    <mergeCell ref="L95:M95"/>
    <mergeCell ref="N95:O95"/>
    <mergeCell ref="P95:R95"/>
    <mergeCell ref="S95:V95"/>
    <mergeCell ref="W95:X95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0:X70"/>
    <mergeCell ref="A71:X71"/>
    <mergeCell ref="A72:K72"/>
    <mergeCell ref="L72:M72"/>
    <mergeCell ref="N72:O72"/>
    <mergeCell ref="P72:R72"/>
    <mergeCell ref="S72:V72"/>
    <mergeCell ref="W72:X72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horizontalDpi="600" verticalDpi="600" orientation="landscape" paperSize="9" r:id="rId1"/>
  <headerFooter alignWithMargins="0">
    <oddFooter>&amp;CСтраница &amp;С из &amp;К</oddFooter>
  </headerFooter>
  <rowBreaks count="2" manualBreakCount="2">
    <brk id="70" max="255" man="1"/>
    <brk id="169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Лена</cp:lastModifiedBy>
  <cp:lastPrinted>2016-07-01T12:41:33Z</cp:lastPrinted>
  <dcterms:created xsi:type="dcterms:W3CDTF">2016-07-01T12:51:02Z</dcterms:created>
  <dcterms:modified xsi:type="dcterms:W3CDTF">2016-07-01T12:51:02Z</dcterms:modified>
  <cp:category/>
  <cp:version/>
  <cp:contentType/>
  <cp:contentStatus/>
</cp:coreProperties>
</file>